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4430" windowHeight="11760" tabRatio="926" firstSheet="1" activeTab="10"/>
  </bookViews>
  <sheets>
    <sheet name="титульный лист" sheetId="20" r:id="rId1"/>
    <sheet name="1 раздел" sheetId="2" r:id="rId2"/>
    <sheet name="2 раздел" sheetId="3" r:id="rId3"/>
    <sheet name="Приложение 2 Внеб доходы" sheetId="5" r:id="rId4"/>
    <sheet name="Расшифровка доходов по МЗ" sheetId="16" r:id="rId5"/>
    <sheet name="Расшифровка доходов по ИЦ " sheetId="17" r:id="rId6"/>
    <sheet name="Расшифровка доходов по ивестиц." sheetId="9" r:id="rId7"/>
    <sheet name="Приложение 3 Внеб расходы" sheetId="4" r:id="rId8"/>
    <sheet name="ФЭО расходов МЗ " sheetId="18" r:id="rId9"/>
    <sheet name="ФЭО расходов ИЦ" sheetId="19" r:id="rId10"/>
    <sheet name="ФЭО расходов инвестиции" sheetId="13" r:id="rId11"/>
  </sheets>
  <definedNames>
    <definedName name="_xlnm._FilterDatabase" localSheetId="1" hidden="1">'1 раздел'!$A$6:$O$253</definedName>
    <definedName name="solver_adj" localSheetId="3" hidden="1">'Приложение 2 Внеб доходы'!$M$69</definedName>
    <definedName name="solver_adj" localSheetId="7" hidden="1">'Приложение 3 Внеб расходы'!$D$27</definedName>
    <definedName name="solver_adj" localSheetId="9" hidden="1">'ФЭО расходов ИЦ'!$D$17</definedName>
    <definedName name="solver_adj" localSheetId="8" hidden="1">'ФЭО расходов МЗ '!$D$17</definedName>
    <definedName name="solver_cvg" localSheetId="3" hidden="1">0.0001</definedName>
    <definedName name="solver_cvg" localSheetId="7" hidden="1">0.0001</definedName>
    <definedName name="solver_cvg" localSheetId="9" hidden="1">0.0001</definedName>
    <definedName name="solver_cvg" localSheetId="8" hidden="1">0.0001</definedName>
    <definedName name="solver_drv" localSheetId="3" hidden="1">1</definedName>
    <definedName name="solver_drv" localSheetId="7" hidden="1">2</definedName>
    <definedName name="solver_drv" localSheetId="9" hidden="1">1</definedName>
    <definedName name="solver_drv" localSheetId="8" hidden="1">2</definedName>
    <definedName name="solver_eng" localSheetId="3" hidden="1">1</definedName>
    <definedName name="solver_eng" localSheetId="7" hidden="1">1</definedName>
    <definedName name="solver_eng" localSheetId="9" hidden="1">1</definedName>
    <definedName name="solver_eng" localSheetId="8" hidden="1">1</definedName>
    <definedName name="solver_est" localSheetId="3" hidden="1">1</definedName>
    <definedName name="solver_est" localSheetId="7" hidden="1">1</definedName>
    <definedName name="solver_est" localSheetId="9" hidden="1">1</definedName>
    <definedName name="solver_est" localSheetId="8" hidden="1">1</definedName>
    <definedName name="solver_itr" localSheetId="3" hidden="1">2147483647</definedName>
    <definedName name="solver_itr" localSheetId="7" hidden="1">2147483647</definedName>
    <definedName name="solver_itr" localSheetId="9" hidden="1">2147483647</definedName>
    <definedName name="solver_itr" localSheetId="8" hidden="1">2147483647</definedName>
    <definedName name="solver_mip" localSheetId="3" hidden="1">2147483647</definedName>
    <definedName name="solver_mip" localSheetId="7" hidden="1">2147483647</definedName>
    <definedName name="solver_mip" localSheetId="9" hidden="1">2147483647</definedName>
    <definedName name="solver_mip" localSheetId="8" hidden="1">2147483647</definedName>
    <definedName name="solver_mni" localSheetId="3" hidden="1">30</definedName>
    <definedName name="solver_mni" localSheetId="7" hidden="1">30</definedName>
    <definedName name="solver_mni" localSheetId="9" hidden="1">30</definedName>
    <definedName name="solver_mni" localSheetId="8" hidden="1">30</definedName>
    <definedName name="solver_mrt" localSheetId="3" hidden="1">0.075</definedName>
    <definedName name="solver_mrt" localSheetId="7" hidden="1">0.075</definedName>
    <definedName name="solver_mrt" localSheetId="9" hidden="1">0.075</definedName>
    <definedName name="solver_mrt" localSheetId="8" hidden="1">0.075</definedName>
    <definedName name="solver_msl" localSheetId="3" hidden="1">2</definedName>
    <definedName name="solver_msl" localSheetId="7" hidden="1">2</definedName>
    <definedName name="solver_msl" localSheetId="9" hidden="1">2</definedName>
    <definedName name="solver_msl" localSheetId="8" hidden="1">2</definedName>
    <definedName name="solver_neg" localSheetId="3" hidden="1">1</definedName>
    <definedName name="solver_neg" localSheetId="7" hidden="1">1</definedName>
    <definedName name="solver_neg" localSheetId="9" hidden="1">1</definedName>
    <definedName name="solver_neg" localSheetId="8" hidden="1">1</definedName>
    <definedName name="solver_nod" localSheetId="3" hidden="1">2147483647</definedName>
    <definedName name="solver_nod" localSheetId="7" hidden="1">2147483647</definedName>
    <definedName name="solver_nod" localSheetId="9" hidden="1">2147483647</definedName>
    <definedName name="solver_nod" localSheetId="8" hidden="1">2147483647</definedName>
    <definedName name="solver_num" localSheetId="3" hidden="1">0</definedName>
    <definedName name="solver_num" localSheetId="7" hidden="1">0</definedName>
    <definedName name="solver_num" localSheetId="9" hidden="1">0</definedName>
    <definedName name="solver_num" localSheetId="8" hidden="1">0</definedName>
    <definedName name="solver_nwt" localSheetId="3" hidden="1">1</definedName>
    <definedName name="solver_nwt" localSheetId="7" hidden="1">1</definedName>
    <definedName name="solver_nwt" localSheetId="9" hidden="1">1</definedName>
    <definedName name="solver_nwt" localSheetId="8" hidden="1">1</definedName>
    <definedName name="solver_opt" localSheetId="3" hidden="1">'Приложение 2 Внеб доходы'!$Q$78</definedName>
    <definedName name="solver_opt" localSheetId="7" hidden="1">'Приложение 3 Внеб расходы'!$J$27</definedName>
    <definedName name="solver_opt" localSheetId="9" hidden="1">'ФЭО расходов ИЦ'!$J$17</definedName>
    <definedName name="solver_opt" localSheetId="8" hidden="1">'ФЭО расходов МЗ '!$J$26</definedName>
    <definedName name="solver_pre" localSheetId="3" hidden="1">0.000001</definedName>
    <definedName name="solver_pre" localSheetId="7" hidden="1">0.000001</definedName>
    <definedName name="solver_pre" localSheetId="9" hidden="1">0.000001</definedName>
    <definedName name="solver_pre" localSheetId="8" hidden="1">0.000001</definedName>
    <definedName name="solver_rbv" localSheetId="3" hidden="1">1</definedName>
    <definedName name="solver_rbv" localSheetId="7" hidden="1">2</definedName>
    <definedName name="solver_rbv" localSheetId="9" hidden="1">1</definedName>
    <definedName name="solver_rbv" localSheetId="8" hidden="1">2</definedName>
    <definedName name="solver_rlx" localSheetId="3" hidden="1">2</definedName>
    <definedName name="solver_rlx" localSheetId="7" hidden="1">2</definedName>
    <definedName name="solver_rlx" localSheetId="9" hidden="1">2</definedName>
    <definedName name="solver_rlx" localSheetId="8" hidden="1">2</definedName>
    <definedName name="solver_rsd" localSheetId="3" hidden="1">0</definedName>
    <definedName name="solver_rsd" localSheetId="7" hidden="1">0</definedName>
    <definedName name="solver_rsd" localSheetId="9" hidden="1">0</definedName>
    <definedName name="solver_rsd" localSheetId="8" hidden="1">0</definedName>
    <definedName name="solver_scl" localSheetId="3" hidden="1">1</definedName>
    <definedName name="solver_scl" localSheetId="7" hidden="1">2</definedName>
    <definedName name="solver_scl" localSheetId="9" hidden="1">1</definedName>
    <definedName name="solver_scl" localSheetId="8" hidden="1">2</definedName>
    <definedName name="solver_sho" localSheetId="3" hidden="1">2</definedName>
    <definedName name="solver_sho" localSheetId="7" hidden="1">2</definedName>
    <definedName name="solver_sho" localSheetId="9" hidden="1">2</definedName>
    <definedName name="solver_sho" localSheetId="8" hidden="1">2</definedName>
    <definedName name="solver_ssz" localSheetId="3" hidden="1">100</definedName>
    <definedName name="solver_ssz" localSheetId="7" hidden="1">100</definedName>
    <definedName name="solver_ssz" localSheetId="9" hidden="1">100</definedName>
    <definedName name="solver_ssz" localSheetId="8" hidden="1">100</definedName>
    <definedName name="solver_tim" localSheetId="3" hidden="1">2147483647</definedName>
    <definedName name="solver_tim" localSheetId="7" hidden="1">2147483647</definedName>
    <definedName name="solver_tim" localSheetId="9" hidden="1">2147483647</definedName>
    <definedName name="solver_tim" localSheetId="8" hidden="1">2147483647</definedName>
    <definedName name="solver_tol" localSheetId="3" hidden="1">0.01</definedName>
    <definedName name="solver_tol" localSheetId="7" hidden="1">0.01</definedName>
    <definedName name="solver_tol" localSheetId="9" hidden="1">0.01</definedName>
    <definedName name="solver_tol" localSheetId="8" hidden="1">0.01</definedName>
    <definedName name="solver_typ" localSheetId="3" hidden="1">3</definedName>
    <definedName name="solver_typ" localSheetId="7" hidden="1">3</definedName>
    <definedName name="solver_typ" localSheetId="9" hidden="1">3</definedName>
    <definedName name="solver_typ" localSheetId="8" hidden="1">3</definedName>
    <definedName name="solver_val" localSheetId="3" hidden="1">9308000</definedName>
    <definedName name="solver_val" localSheetId="7" hidden="1">375229.51</definedName>
    <definedName name="solver_val" localSheetId="9" hidden="1">526365.63</definedName>
    <definedName name="solver_val" localSheetId="8" hidden="1">29307244.25</definedName>
    <definedName name="solver_ver" localSheetId="3" hidden="1">3</definedName>
    <definedName name="solver_ver" localSheetId="7" hidden="1">3</definedName>
    <definedName name="solver_ver" localSheetId="9" hidden="1">3</definedName>
    <definedName name="solver_ver" localSheetId="8" hidden="1">3</definedName>
    <definedName name="_xlnm.Print_Area" localSheetId="1">'1 раздел'!$A$1:$N$253</definedName>
    <definedName name="_xlnm.Print_Area" localSheetId="2">'2 раздел'!$A$1:$H$53</definedName>
    <definedName name="_xlnm.Print_Area" localSheetId="3">'Приложение 2 Внеб доходы'!$A$1:$V$207</definedName>
    <definedName name="_xlnm.Print_Area" localSheetId="7">'Приложение 3 Внеб расходы'!$A$1:$J$253</definedName>
    <definedName name="_xlnm.Print_Area" localSheetId="6">'Расшифровка доходов по ивестиц.'!$A$1:$K$36</definedName>
    <definedName name="_xlnm.Print_Area" localSheetId="5">'Расшифровка доходов по ИЦ '!$A$1:$K$58</definedName>
    <definedName name="_xlnm.Print_Area" localSheetId="4">'Расшифровка доходов по МЗ'!$A$1:$K$90</definedName>
    <definedName name="_xlnm.Print_Area" localSheetId="0">'титульный лист'!$A$1:$O$30</definedName>
    <definedName name="_xlnm.Print_Area" localSheetId="10">'ФЭО расходов инвестиции'!$A$1:$K$56</definedName>
    <definedName name="_xlnm.Print_Area" localSheetId="9">'ФЭО расходов ИЦ'!$A$1:$K$245</definedName>
    <definedName name="_xlnm.Print_Area" localSheetId="8">'ФЭО расходов МЗ '!$A$1:$K$280</definedName>
  </definedNames>
  <calcPr calcId="152511"/>
</workbook>
</file>

<file path=xl/calcChain.xml><?xml version="1.0" encoding="utf-8"?>
<calcChain xmlns="http://schemas.openxmlformats.org/spreadsheetml/2006/main">
  <c r="D272" i="18" l="1"/>
  <c r="H265" i="18"/>
  <c r="H266" i="18" s="1"/>
  <c r="F266" i="18" s="1"/>
  <c r="F265" i="18"/>
  <c r="F91" i="18"/>
  <c r="F94" i="18" s="1"/>
  <c r="H91" i="18"/>
  <c r="H94" i="18" s="1"/>
  <c r="Q4" i="2"/>
  <c r="H264" i="18"/>
  <c r="F264" i="18"/>
  <c r="F215" i="18" l="1"/>
  <c r="G186" i="18"/>
  <c r="H50" i="16"/>
  <c r="H21" i="16"/>
  <c r="H20" i="16"/>
  <c r="H19" i="16"/>
  <c r="H18" i="16"/>
  <c r="H43" i="16"/>
  <c r="H49" i="16"/>
  <c r="H48" i="16"/>
  <c r="H47" i="16"/>
  <c r="H42" i="16"/>
  <c r="D72" i="16"/>
  <c r="G60" i="16"/>
  <c r="H38" i="16"/>
  <c r="H37" i="16"/>
  <c r="H36" i="16"/>
  <c r="H35" i="16"/>
  <c r="K122" i="2" l="1"/>
  <c r="K225" i="2" l="1"/>
  <c r="K181" i="2"/>
  <c r="K174" i="2"/>
  <c r="K95" i="2"/>
  <c r="K74" i="2"/>
  <c r="K25" i="2"/>
  <c r="K24" i="2"/>
  <c r="A42" i="3" l="1"/>
  <c r="K12" i="2" l="1"/>
  <c r="F214" i="18" l="1"/>
  <c r="D214" i="18" s="1"/>
  <c r="D215" i="18"/>
  <c r="G241" i="18"/>
  <c r="F241" i="18" s="1"/>
  <c r="G229" i="18"/>
  <c r="G231" i="18" s="1"/>
  <c r="H228" i="18"/>
  <c r="F228" i="18" s="1"/>
  <c r="E228" i="18" s="1"/>
  <c r="H244" i="18"/>
  <c r="F244" i="18" s="1"/>
  <c r="F246" i="18"/>
  <c r="F245" i="18"/>
  <c r="F243" i="18"/>
  <c r="H242" i="18"/>
  <c r="F242" i="18" s="1"/>
  <c r="E242" i="18" s="1"/>
  <c r="H240" i="18"/>
  <c r="H247" i="18" s="1"/>
  <c r="F239" i="18"/>
  <c r="F238" i="18"/>
  <c r="H231" i="18"/>
  <c r="F230" i="18"/>
  <c r="E219" i="18"/>
  <c r="D218" i="18"/>
  <c r="D217" i="18"/>
  <c r="D216" i="18"/>
  <c r="D213" i="18"/>
  <c r="D212" i="18"/>
  <c r="D211" i="18"/>
  <c r="D210" i="18"/>
  <c r="D209" i="18"/>
  <c r="D208" i="18"/>
  <c r="E198" i="18"/>
  <c r="E197" i="18"/>
  <c r="E196" i="18"/>
  <c r="E195" i="18"/>
  <c r="E194" i="18"/>
  <c r="E193" i="18"/>
  <c r="E192" i="18"/>
  <c r="E191" i="18"/>
  <c r="E190" i="18"/>
  <c r="E189" i="18"/>
  <c r="E188" i="18"/>
  <c r="E187" i="18"/>
  <c r="E186" i="18"/>
  <c r="G185" i="18"/>
  <c r="G199" i="18" s="1"/>
  <c r="E199" i="18" s="1"/>
  <c r="F164" i="18"/>
  <c r="H163" i="18"/>
  <c r="F163" i="18"/>
  <c r="F162" i="18"/>
  <c r="G142" i="18"/>
  <c r="F141" i="18"/>
  <c r="F140" i="18"/>
  <c r="E140" i="18" s="1"/>
  <c r="H139" i="18"/>
  <c r="H142" i="18" s="1"/>
  <c r="F142" i="18" s="1"/>
  <c r="F139" i="18"/>
  <c r="E139" i="18"/>
  <c r="E243" i="4"/>
  <c r="E247" i="4" s="1"/>
  <c r="K248" i="4" s="1"/>
  <c r="G219" i="4"/>
  <c r="G216" i="4"/>
  <c r="G213" i="4"/>
  <c r="G150" i="4"/>
  <c r="G152" i="4" s="1"/>
  <c r="F229" i="18" l="1"/>
  <c r="E229" i="18" s="1"/>
  <c r="F219" i="18"/>
  <c r="D219" i="18" s="1"/>
  <c r="H165" i="18"/>
  <c r="F165" i="18" s="1"/>
  <c r="G247" i="18"/>
  <c r="F247" i="18"/>
  <c r="F231" i="18"/>
  <c r="F240" i="18"/>
  <c r="E240" i="18" s="1"/>
  <c r="E185" i="18"/>
  <c r="G62" i="19" l="1"/>
  <c r="K96" i="2"/>
  <c r="K75" i="2"/>
  <c r="E17" i="19"/>
  <c r="J17" i="19"/>
  <c r="L17" i="19"/>
  <c r="F45" i="19"/>
  <c r="F44" i="19"/>
  <c r="K212" i="2" l="1"/>
  <c r="K197" i="2"/>
  <c r="K188" i="2"/>
  <c r="K217" i="2"/>
  <c r="K198" i="2"/>
  <c r="K229" i="2"/>
  <c r="K11" i="2"/>
  <c r="J27" i="4" l="1"/>
  <c r="J26" i="4"/>
  <c r="J25" i="4"/>
  <c r="J24" i="4"/>
  <c r="J29" i="4" s="1"/>
  <c r="J28" i="4" l="1"/>
  <c r="H220" i="19"/>
  <c r="F200" i="19"/>
  <c r="G190" i="19"/>
  <c r="G45" i="19"/>
  <c r="G181" i="4" l="1"/>
  <c r="G182" i="4"/>
  <c r="G98" i="4"/>
  <c r="H235" i="4"/>
  <c r="H234" i="4"/>
  <c r="F196" i="4"/>
  <c r="H160" i="4"/>
  <c r="D70" i="16" l="1"/>
  <c r="E201" i="5" l="1"/>
  <c r="E200" i="5"/>
  <c r="E199" i="5"/>
  <c r="E198" i="5"/>
  <c r="E197" i="5"/>
  <c r="E196" i="5"/>
  <c r="Q108" i="5"/>
  <c r="Q109" i="5"/>
  <c r="Q110" i="5"/>
  <c r="Q111" i="5"/>
  <c r="Q112" i="5"/>
  <c r="Q107" i="5"/>
  <c r="V24" i="5"/>
  <c r="H22" i="5" l="1"/>
  <c r="E22" i="5"/>
  <c r="G203" i="4" l="1"/>
  <c r="F191" i="4"/>
  <c r="K8" i="2"/>
  <c r="K173" i="2"/>
  <c r="K167" i="2"/>
  <c r="K187" i="2"/>
  <c r="K180" i="2" l="1"/>
  <c r="K196" i="2"/>
  <c r="Q5" i="2" l="1"/>
  <c r="Q3" i="2"/>
  <c r="K13" i="20"/>
  <c r="G82" i="19" l="1"/>
  <c r="L187" i="2" l="1"/>
  <c r="M187" i="2"/>
  <c r="Q62" i="5" l="1"/>
  <c r="Q60" i="5"/>
  <c r="Q58" i="5" l="1"/>
  <c r="Q59" i="5"/>
  <c r="Q61" i="5"/>
  <c r="Q63" i="5"/>
  <c r="Q64" i="5"/>
  <c r="Q65" i="5"/>
  <c r="Q66" i="5"/>
  <c r="Q67" i="5"/>
  <c r="Q68" i="5"/>
  <c r="Q69" i="5"/>
  <c r="Q70" i="5"/>
  <c r="Q71" i="5"/>
  <c r="Q72" i="5"/>
  <c r="Q73" i="5"/>
  <c r="Q74" i="5"/>
  <c r="Q75" i="5"/>
  <c r="Q76" i="5"/>
  <c r="Q77" i="5"/>
  <c r="Q57" i="5" l="1"/>
  <c r="Q78" i="5" s="1"/>
  <c r="I178" i="5"/>
  <c r="Q113" i="5" l="1"/>
  <c r="O42" i="5"/>
  <c r="J42" i="5"/>
  <c r="I41" i="5"/>
  <c r="M178" i="2" l="1"/>
  <c r="M222" i="2"/>
  <c r="L225" i="2"/>
  <c r="L222" i="2" s="1"/>
  <c r="L178" i="2"/>
  <c r="L203" i="2"/>
  <c r="M203" i="2"/>
  <c r="L165" i="2"/>
  <c r="M165" i="2"/>
  <c r="K222" i="2"/>
  <c r="K165" i="2"/>
  <c r="E228" i="4"/>
  <c r="M158" i="2" l="1"/>
  <c r="L158" i="2"/>
  <c r="G220" i="19" l="1"/>
  <c r="F220" i="19"/>
  <c r="E200" i="19"/>
  <c r="D200" i="19" s="1"/>
  <c r="D199" i="19"/>
  <c r="F190" i="19"/>
  <c r="E190" i="19" s="1"/>
  <c r="H99" i="19"/>
  <c r="F99" i="19"/>
  <c r="I84" i="19"/>
  <c r="H84" i="19"/>
  <c r="G84" i="19" s="1"/>
  <c r="H63" i="19"/>
  <c r="H37" i="19"/>
  <c r="G37" i="19"/>
  <c r="F37" i="19"/>
  <c r="J24" i="19"/>
  <c r="J23" i="19"/>
  <c r="J22" i="19"/>
  <c r="J21" i="19"/>
  <c r="J19" i="19"/>
  <c r="J18" i="19"/>
  <c r="J16" i="19"/>
  <c r="F45" i="18"/>
  <c r="E45" i="18" s="1"/>
  <c r="H78" i="18"/>
  <c r="G78" i="18"/>
  <c r="H64" i="18"/>
  <c r="G46" i="18"/>
  <c r="F44" i="18"/>
  <c r="J24" i="18"/>
  <c r="J23" i="18"/>
  <c r="J22" i="18"/>
  <c r="J21" i="18"/>
  <c r="J19" i="18"/>
  <c r="J18" i="18"/>
  <c r="J17" i="18"/>
  <c r="J16" i="18"/>
  <c r="D41" i="17"/>
  <c r="C47" i="17" s="1"/>
  <c r="D28" i="17"/>
  <c r="D17" i="17"/>
  <c r="C48" i="17" s="1"/>
  <c r="K245" i="4"/>
  <c r="L237" i="19"/>
  <c r="L273" i="18"/>
  <c r="F23" i="16"/>
  <c r="F22" i="16"/>
  <c r="F43" i="16"/>
  <c r="D60" i="16"/>
  <c r="F38" i="16"/>
  <c r="J25" i="19" l="1"/>
  <c r="D237" i="19" s="1"/>
  <c r="J20" i="19"/>
  <c r="J26" i="19" s="1"/>
  <c r="E53" i="19" s="1"/>
  <c r="F46" i="18"/>
  <c r="J25" i="18"/>
  <c r="J20" i="18"/>
  <c r="C49" i="17"/>
  <c r="E57" i="19" l="1"/>
  <c r="G53" i="19"/>
  <c r="J26" i="18"/>
  <c r="D74" i="16"/>
  <c r="G61" i="16"/>
  <c r="F50" i="16"/>
  <c r="I50" i="16" s="1"/>
  <c r="D49" i="16"/>
  <c r="F49" i="16" s="1"/>
  <c r="I49" i="16" s="1"/>
  <c r="F48" i="16"/>
  <c r="I48" i="16" s="1"/>
  <c r="F47" i="16"/>
  <c r="I47" i="16" s="1"/>
  <c r="H39" i="16"/>
  <c r="F46" i="16"/>
  <c r="I46" i="16" s="1"/>
  <c r="I43" i="16"/>
  <c r="F42" i="16"/>
  <c r="I42" i="16" s="1"/>
  <c r="F41" i="16"/>
  <c r="G39" i="16"/>
  <c r="I38" i="16"/>
  <c r="F37" i="16"/>
  <c r="I37" i="16" s="1"/>
  <c r="F36" i="16"/>
  <c r="I36" i="16" s="1"/>
  <c r="F35" i="16"/>
  <c r="I35" i="16" s="1"/>
  <c r="H33" i="16"/>
  <c r="G33" i="16"/>
  <c r="I23" i="16"/>
  <c r="I22" i="16"/>
  <c r="F20" i="16"/>
  <c r="I20" i="16" s="1"/>
  <c r="D16" i="16"/>
  <c r="F17" i="16" s="1"/>
  <c r="I17" i="16" s="1"/>
  <c r="H14" i="16"/>
  <c r="E54" i="18" l="1"/>
  <c r="G54" i="18" s="1"/>
  <c r="F54" i="18" s="1"/>
  <c r="F53" i="19"/>
  <c r="G52" i="19"/>
  <c r="G57" i="19"/>
  <c r="E59" i="19"/>
  <c r="F16" i="16"/>
  <c r="I16" i="16" s="1"/>
  <c r="I33" i="16"/>
  <c r="F39" i="16"/>
  <c r="I41" i="16"/>
  <c r="I39" i="16" s="1"/>
  <c r="I44" i="16"/>
  <c r="F21" i="16"/>
  <c r="I21" i="16" s="1"/>
  <c r="F33" i="16"/>
  <c r="F44" i="16"/>
  <c r="F18" i="16"/>
  <c r="I18" i="16" s="1"/>
  <c r="F19" i="16"/>
  <c r="I19" i="16" s="1"/>
  <c r="G53" i="18" l="1"/>
  <c r="F53" i="18" s="1"/>
  <c r="E58" i="18"/>
  <c r="E60" i="18" s="1"/>
  <c r="G60" i="18" s="1"/>
  <c r="F60" i="18" s="1"/>
  <c r="F52" i="19"/>
  <c r="E62" i="19"/>
  <c r="G59" i="19"/>
  <c r="F59" i="19" s="1"/>
  <c r="F57" i="19"/>
  <c r="I14" i="16"/>
  <c r="I24" i="16" s="1"/>
  <c r="D80" i="16" s="1"/>
  <c r="I51" i="16"/>
  <c r="D81" i="16" s="1"/>
  <c r="F14" i="16"/>
  <c r="F62" i="19" l="1"/>
  <c r="E63" i="18"/>
  <c r="G58" i="18"/>
  <c r="F58" i="18" s="1"/>
  <c r="G56" i="19"/>
  <c r="D82" i="16"/>
  <c r="G63" i="18" l="1"/>
  <c r="F63" i="18" s="1"/>
  <c r="G57" i="18"/>
  <c r="F57" i="18" s="1"/>
  <c r="F56" i="19"/>
  <c r="F63" i="19" s="1"/>
  <c r="G63" i="19"/>
  <c r="D236" i="19" s="1"/>
  <c r="D238" i="19" s="1"/>
  <c r="L238" i="19" s="1"/>
  <c r="F64" i="18" l="1"/>
  <c r="G64" i="18"/>
  <c r="D271" i="18" s="1"/>
  <c r="D273" i="18" s="1"/>
  <c r="V22" i="5"/>
  <c r="L275" i="18" l="1"/>
  <c r="F20" i="3"/>
  <c r="F17" i="3" s="1"/>
  <c r="G20" i="3"/>
  <c r="G17" i="3" s="1"/>
  <c r="E20" i="3"/>
  <c r="E17" i="3" s="1"/>
  <c r="F29" i="3"/>
  <c r="F26" i="3" s="1"/>
  <c r="G29" i="3"/>
  <c r="G26" i="3" s="1"/>
  <c r="E29" i="3"/>
  <c r="E26" i="3" s="1"/>
  <c r="F16" i="3"/>
  <c r="G16" i="3"/>
  <c r="E16" i="3"/>
  <c r="G12" i="3" l="1"/>
  <c r="G11" i="3" s="1"/>
  <c r="G6" i="3" s="1"/>
  <c r="F12" i="3"/>
  <c r="F11" i="3" s="1"/>
  <c r="F6" i="3" s="1"/>
  <c r="E12" i="3"/>
  <c r="E11" i="3" s="1"/>
  <c r="E6" i="3" s="1"/>
  <c r="L71" i="2" l="1"/>
  <c r="M71" i="2"/>
  <c r="L79" i="2"/>
  <c r="M79" i="2"/>
  <c r="L92" i="2"/>
  <c r="M92" i="2"/>
  <c r="L99" i="2"/>
  <c r="M99" i="2"/>
  <c r="L105" i="2"/>
  <c r="L103" i="2" s="1"/>
  <c r="M105" i="2"/>
  <c r="M103" i="2" s="1"/>
  <c r="L119" i="2"/>
  <c r="M119" i="2"/>
  <c r="L123" i="2"/>
  <c r="M123" i="2"/>
  <c r="L127" i="2"/>
  <c r="M127" i="2"/>
  <c r="L135" i="2"/>
  <c r="M135" i="2"/>
  <c r="L141" i="2"/>
  <c r="L139" i="2" s="1"/>
  <c r="M141" i="2"/>
  <c r="M139" i="2" s="1"/>
  <c r="L152" i="2"/>
  <c r="M152" i="2"/>
  <c r="N203" i="2"/>
  <c r="K203" i="2"/>
  <c r="K178" i="2"/>
  <c r="K152" i="2"/>
  <c r="K127" i="2"/>
  <c r="K123" i="2"/>
  <c r="K119" i="2"/>
  <c r="K105" i="2"/>
  <c r="K103" i="2" s="1"/>
  <c r="K99" i="2"/>
  <c r="K92" i="2"/>
  <c r="K79" i="2"/>
  <c r="K71" i="2"/>
  <c r="K239" i="2"/>
  <c r="K234" i="2"/>
  <c r="K141" i="2"/>
  <c r="K139" i="2" s="1"/>
  <c r="K135" i="2"/>
  <c r="M117" i="2" l="1"/>
  <c r="K158" i="2"/>
  <c r="I6" i="3" s="1"/>
  <c r="I7" i="3" s="1"/>
  <c r="L117" i="2"/>
  <c r="L148" i="2"/>
  <c r="M148" i="2"/>
  <c r="K69" i="2"/>
  <c r="M69" i="2"/>
  <c r="L69" i="2"/>
  <c r="K117" i="2"/>
  <c r="L67" i="2" l="1"/>
  <c r="M67" i="2"/>
  <c r="L23" i="2"/>
  <c r="M23" i="2"/>
  <c r="N23" i="2"/>
  <c r="K23" i="2"/>
  <c r="R4" i="2" s="1"/>
  <c r="L82" i="16" s="1"/>
  <c r="L83" i="16" s="1"/>
  <c r="L49" i="2" l="1"/>
  <c r="L47" i="2" s="1"/>
  <c r="M49" i="2"/>
  <c r="M47" i="2" s="1"/>
  <c r="N49" i="2"/>
  <c r="K49" i="2"/>
  <c r="K47" i="2" l="1"/>
  <c r="R5" i="2"/>
  <c r="L49" i="17" s="1"/>
  <c r="L50" i="17" s="1"/>
  <c r="N21" i="2"/>
  <c r="H236" i="4" l="1"/>
  <c r="M17" i="2" l="1"/>
  <c r="L17" i="2"/>
  <c r="K17" i="2"/>
  <c r="D48" i="13"/>
  <c r="D47" i="13"/>
  <c r="D46" i="13"/>
  <c r="F18" i="9"/>
  <c r="C26" i="9" s="1"/>
  <c r="E18" i="9"/>
  <c r="C25" i="9" s="1"/>
  <c r="D18" i="9"/>
  <c r="C24" i="9" s="1"/>
  <c r="D49" i="13" l="1"/>
  <c r="C27" i="9"/>
  <c r="P43" i="5" l="1"/>
  <c r="N43" i="5"/>
  <c r="M43" i="5"/>
  <c r="L43" i="5"/>
  <c r="K43" i="5"/>
  <c r="G43" i="5"/>
  <c r="F43" i="5"/>
  <c r="I42" i="5"/>
  <c r="I43" i="5" s="1"/>
  <c r="O41" i="5"/>
  <c r="J41" i="5"/>
  <c r="J43" i="5" s="1"/>
  <c r="O43" i="5" l="1"/>
  <c r="Q43" i="5" s="1"/>
  <c r="Q41" i="5"/>
  <c r="Q42" i="5"/>
  <c r="G205" i="4"/>
  <c r="G171" i="4"/>
  <c r="H162" i="4"/>
  <c r="H142" i="4"/>
  <c r="G127" i="4"/>
  <c r="G114" i="4"/>
  <c r="G85" i="4"/>
  <c r="H48" i="4"/>
  <c r="H39" i="4"/>
  <c r="G57" i="4"/>
  <c r="H57" i="4" l="1"/>
  <c r="H55" i="4" s="1"/>
  <c r="G67" i="4"/>
  <c r="H67" i="4" s="1"/>
  <c r="G64" i="4"/>
  <c r="H64" i="4" s="1"/>
  <c r="G62" i="4"/>
  <c r="H62" i="4" s="1"/>
  <c r="M43" i="2"/>
  <c r="M40" i="2" s="1"/>
  <c r="L43" i="2"/>
  <c r="L40" i="2" s="1"/>
  <c r="K43" i="2"/>
  <c r="K40" i="2" s="1"/>
  <c r="L33" i="2"/>
  <c r="M33" i="2"/>
  <c r="K33" i="2"/>
  <c r="M26" i="2"/>
  <c r="M21" i="2" s="1"/>
  <c r="L26" i="2"/>
  <c r="L21" i="2" s="1"/>
  <c r="K26" i="2"/>
  <c r="R3" i="2" s="1"/>
  <c r="H60" i="4" l="1"/>
  <c r="H68" i="4" s="1"/>
  <c r="K21" i="2"/>
  <c r="K15" i="2" s="1"/>
  <c r="W197" i="5"/>
  <c r="W201" i="5" s="1"/>
  <c r="M15" i="2"/>
  <c r="M14" i="2" s="1"/>
  <c r="L15" i="2"/>
  <c r="L14" i="2" s="1"/>
  <c r="K148" i="2"/>
  <c r="K67" i="2" s="1"/>
  <c r="K14" i="2" l="1"/>
  <c r="G101" i="4"/>
</calcChain>
</file>

<file path=xl/sharedStrings.xml><?xml version="1.0" encoding="utf-8"?>
<sst xmlns="http://schemas.openxmlformats.org/spreadsheetml/2006/main" count="2841" uniqueCount="820">
  <si>
    <t xml:space="preserve">Приложение 1 </t>
  </si>
  <si>
    <t>учреждения города Перми</t>
  </si>
  <si>
    <t>УТВЕРЖДАЮ</t>
  </si>
  <si>
    <t>Коды</t>
  </si>
  <si>
    <t>ИНН</t>
  </si>
  <si>
    <t>КПП</t>
  </si>
  <si>
    <t>по ОКЕИ</t>
  </si>
  <si>
    <t>Единица измерения: руб.</t>
  </si>
  <si>
    <t>Раздел I. Поступления и выплаты</t>
  </si>
  <si>
    <t>Наименование показателя</t>
  </si>
  <si>
    <t>Код строки</t>
  </si>
  <si>
    <t>Код по бюджетной классификации Российской Федерации &lt;1&gt;</t>
  </si>
  <si>
    <t>Код субсидии</t>
  </si>
  <si>
    <t>КВФО</t>
  </si>
  <si>
    <t>КОСГУ</t>
  </si>
  <si>
    <t>Отраслевой код</t>
  </si>
  <si>
    <t>Сумма</t>
  </si>
  <si>
    <t>за пределами планового периода</t>
  </si>
  <si>
    <t>Остаток средств на начало очередного финансового года &lt;2&gt;</t>
  </si>
  <si>
    <t>х</t>
  </si>
  <si>
    <t xml:space="preserve">        в том числе:</t>
  </si>
  <si>
    <t>Остаток средств на конец очередного финансового года &lt;2&gt;</t>
  </si>
  <si>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</si>
  <si>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</si>
  <si>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</si>
  <si>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</si>
  <si>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муниципального задания за счет средств бюджета города Перми</t>
  </si>
  <si>
    <t>доходы от оказания платных услуг (работ), компенсации затрат, всего</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</si>
  <si>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</si>
  <si>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</si>
  <si>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</si>
  <si>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</si>
  <si>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</si>
  <si>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</si>
  <si>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прочие поступления, всего &lt;3&gt;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</si>
  <si>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</si>
  <si>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</si>
  <si>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</si>
  <si>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</si>
  <si>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 всего</t>
  </si>
  <si>
    <t>прочие выплаты персоналу, в том числе компенсационного характера, всего</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</si>
  <si>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</si>
  <si>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</si>
  <si>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</si>
  <si>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</si>
  <si>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</si>
  <si>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</si>
  <si>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</si>
  <si>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</si>
  <si>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</si>
  <si>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</si>
  <si>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</si>
  <si>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</si>
  <si>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</si>
  <si>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</si>
  <si>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 всего</t>
  </si>
  <si>
    <t>иные налоги (включаемые в состав расходов) в бюджеты бюджетной системы Российской Федерации, а также государственная пошлина, всего</t>
  </si>
  <si>
    <t>уплата штрафов (в том числе административных), пеней, иных платежей, всего</t>
  </si>
  <si>
    <t>безвозмездные перечисления организациям и физическим лицам, всего</t>
  </si>
  <si>
    <t>гранты, предоставляемые другим организациям и физическим лицам</t>
  </si>
  <si>
    <t>прочие выплаты (кроме выплат на закупку товаров, работ, услуг), всего</t>
  </si>
  <si>
    <t>исполнение судебных актов Российской Федерации и мировых соглашений по возмещению вреда, причиненного в результате деятельности учреждения, всего</t>
  </si>
  <si>
    <t>расходы на закупку товаров, работ, услуг, всего &lt;4&gt;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</si>
  <si>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</si>
  <si>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</si>
  <si>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</si>
  <si>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</si>
  <si>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</si>
  <si>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</si>
  <si>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</si>
  <si>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&lt;5&gt;</t>
  </si>
  <si>
    <t>налог на прибыль &lt;5&gt;</t>
  </si>
  <si>
    <t>налог на добавленную стоимость &lt;5&gt;</t>
  </si>
  <si>
    <t>прочие налоги, уменьшающие доход &lt;5&gt;</t>
  </si>
  <si>
    <t>Прочие выплаты, всего &lt;6&gt;</t>
  </si>
  <si>
    <t>возврат в бюджет средств субсидии</t>
  </si>
  <si>
    <t>к Порядку составления и утверждения плана финансово-</t>
  </si>
  <si>
    <t xml:space="preserve">хозяйственной деятельности муниципального </t>
  </si>
  <si>
    <t>остаток средств на начало года</t>
  </si>
  <si>
    <t>00000</t>
  </si>
  <si>
    <t>2</t>
  </si>
  <si>
    <t>155</t>
  </si>
  <si>
    <t>платежи при пользовании природными ресурсами</t>
  </si>
  <si>
    <t>присмотр и уход</t>
  </si>
  <si>
    <t>платные образовательные услуги</t>
  </si>
  <si>
    <t>другие платные услуги</t>
  </si>
  <si>
    <t>доходы от операционной аренды</t>
  </si>
  <si>
    <t>доходы от компенсации затрат</t>
  </si>
  <si>
    <t>возмещение коммунальных услуг</t>
  </si>
  <si>
    <t>доходы от штрафных санкций за нарушение законодательства о закупках и нарушение условий контрактов (договоров)</t>
  </si>
  <si>
    <t>130</t>
  </si>
  <si>
    <t>возмещение ущерба имуществу 
(за исключением страховых возмещений)</t>
  </si>
  <si>
    <t>поступления по урегулированию расчетов между бюджетами бюджетной системы РФ</t>
  </si>
  <si>
    <t>доходы от штрафных санкций по долговым обязательствам</t>
  </si>
  <si>
    <t>страховые возмещения</t>
  </si>
  <si>
    <t>прочие доходы от сумм принудительного изъятия</t>
  </si>
  <si>
    <t>добровольные пожертвования</t>
  </si>
  <si>
    <t>иные доходы</t>
  </si>
  <si>
    <t>152</t>
  </si>
  <si>
    <t>510</t>
  </si>
  <si>
    <t>уменьшение стоимости продуктов питания</t>
  </si>
  <si>
    <t>442</t>
  </si>
  <si>
    <t>446</t>
  </si>
  <si>
    <t>уменьшение стоимости прочих оборотных ценностей (материалов)</t>
  </si>
  <si>
    <t>400</t>
  </si>
  <si>
    <t>211</t>
  </si>
  <si>
    <t>226</t>
  </si>
  <si>
    <t>заработная плата</t>
  </si>
  <si>
    <t>266</t>
  </si>
  <si>
    <t>212</t>
  </si>
  <si>
    <t>прочие несоциальные выплаты персоналу в денежной форме</t>
  </si>
  <si>
    <t>222</t>
  </si>
  <si>
    <t>транспортые услуги</t>
  </si>
  <si>
    <t>прочие работы, услуги</t>
  </si>
  <si>
    <t>267</t>
  </si>
  <si>
    <t>социальные компенсации персоналу в натуральной форме</t>
  </si>
  <si>
    <t>страх взносы (путевка на СКЛ)</t>
  </si>
  <si>
    <t>выходн.пособие; 3 дн б/лист за счет работодат</t>
  </si>
  <si>
    <t>команд.суточные</t>
  </si>
  <si>
    <t>командир.расходы пед.раб.проживание</t>
  </si>
  <si>
    <t>проезд</t>
  </si>
  <si>
    <t>213</t>
  </si>
  <si>
    <t>социальные пособия и компенсации персоналу в денежной форме</t>
  </si>
  <si>
    <t>налог на имущество организаций и земельный налог</t>
  </si>
  <si>
    <t>291</t>
  </si>
  <si>
    <t>4</t>
  </si>
  <si>
    <t>налоги, пошлины и сборы</t>
  </si>
  <si>
    <t>штрафы за нарушение законодательства о налогах и сборах, законодательства о страховых взносах</t>
  </si>
  <si>
    <t>292</t>
  </si>
  <si>
    <t>293</t>
  </si>
  <si>
    <t>штрафы за нарушение законодательства о закупках и нарушение условий контрактов</t>
  </si>
  <si>
    <t>295</t>
  </si>
  <si>
    <t>другие экономический санкции</t>
  </si>
  <si>
    <t xml:space="preserve">    перечисления международным
    организациям</t>
  </si>
  <si>
    <t>253</t>
  </si>
  <si>
    <t>296</t>
  </si>
  <si>
    <t>иные выплаты текущего характера физическим лицам</t>
  </si>
  <si>
    <t>264</t>
  </si>
  <si>
    <t>262</t>
  </si>
  <si>
    <t>пособия по социальной помощи населению в денежной форме</t>
  </si>
  <si>
    <t>пенсии, пособия, выплачиваемые работодателями, нанимателями бывшим работникам</t>
  </si>
  <si>
    <t>297</t>
  </si>
  <si>
    <t>иные выплаты текущего характера организациям</t>
  </si>
  <si>
    <t>услуги связи</t>
  </si>
  <si>
    <t>221</t>
  </si>
  <si>
    <t>коммунальные услуги, всего</t>
  </si>
  <si>
    <t>223</t>
  </si>
  <si>
    <t>оплата твердых коммунальных отходов</t>
  </si>
  <si>
    <t>арендная плата за пользование имуществои</t>
  </si>
  <si>
    <t>224</t>
  </si>
  <si>
    <t>работы, услуги по содержанию имущества</t>
  </si>
  <si>
    <t>225</t>
  </si>
  <si>
    <t>прочие работы, услуги, всего</t>
  </si>
  <si>
    <t>услуги по организации питания</t>
  </si>
  <si>
    <t>проведение лабораторных и инструментальных исследований</t>
  </si>
  <si>
    <t>договоры ГПХ пед.персонал</t>
  </si>
  <si>
    <t>договоры ГПХ со сторонними</t>
  </si>
  <si>
    <t>227</t>
  </si>
  <si>
    <t>228</t>
  </si>
  <si>
    <t>страхование</t>
  </si>
  <si>
    <t>услуги, работы, для целей капитальных вложений</t>
  </si>
  <si>
    <t>3</t>
  </si>
  <si>
    <t>увеличение стоимости основных средств</t>
  </si>
  <si>
    <t>310</t>
  </si>
  <si>
    <t>320</t>
  </si>
  <si>
    <t>340</t>
  </si>
  <si>
    <t>341</t>
  </si>
  <si>
    <t>342</t>
  </si>
  <si>
    <t>343</t>
  </si>
  <si>
    <t>344</t>
  </si>
  <si>
    <t>345</t>
  </si>
  <si>
    <t>увеличение стоимости нематериальных активов</t>
  </si>
  <si>
    <t>увеличение стоимости материальных запасов, всего</t>
  </si>
  <si>
    <t>увеличение стоимости лекарственных препаратов</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</si>
  <si>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</si>
  <si>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</si>
  <si>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</si>
  <si>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</si>
  <si>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</si>
  <si>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346</t>
  </si>
  <si>
    <t>349</t>
  </si>
  <si>
    <t>&lt;1&gt; В графе 3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</si>
  <si>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</si>
  <si>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</si>
  <si>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</si>
  <si>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</si>
  <si>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</si>
  <si>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&lt;2&gt;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</si>
  <si>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 xml:space="preserve">&lt;3&gt;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</si>
  <si>
    <t>&lt;4&gt;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</si>
  <si>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&lt;5&gt; Показатель отражается со знаком «минус».</t>
  </si>
  <si>
    <t xml:space="preserve">&lt;6&gt;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очередного финансового года, предоставления займов (микрозаймов),  размещения  автономными  учреждениями  денежных  средств на банковских  депозитах. </t>
  </si>
  <si>
    <t>Раздел II. Сведения по выплатам на закупки товаров, работ, услуг &lt;7&gt;</t>
  </si>
  <si>
    <t>№ п/п</t>
  </si>
  <si>
    <t>Коды строк</t>
  </si>
  <si>
    <t>Год начала закупки</t>
  </si>
  <si>
    <t>на 20__ г. (очередной финансовый год)</t>
  </si>
  <si>
    <t>на 20__ г. (первый год планового периода)</t>
  </si>
  <si>
    <t>на 20__ г. (второй год планового периода)</t>
  </si>
  <si>
    <t>1.</t>
  </si>
  <si>
    <t>Выплаты на закупку товаров, работ, услуг, всего &lt;8&gt;</t>
  </si>
  <si>
    <t>1.1.</t>
  </si>
  <si>
    <t>1.2.</t>
  </si>
  <si>
    <t>1.3.</t>
  </si>
  <si>
    <t>1.4.</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</si>
  <si>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</si>
  <si>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</si>
  <si>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</si>
  <si>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</si>
  <si>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</si>
  <si>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 &lt;11&gt;</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</si>
  <si>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</si>
  <si>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</si>
  <si>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</si>
  <si>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</si>
  <si>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</si>
  <si>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&lt;12&gt;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</si>
  <si>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</si>
  <si>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</si>
  <si>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</si>
  <si>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</si>
  <si>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</si>
  <si>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</si>
  <si>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</si>
  <si>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</si>
  <si>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</si>
  <si>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</si>
  <si>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&lt;13&gt;</t>
  </si>
  <si>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</si>
  <si>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</si>
  <si>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</si>
  <si>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Руководитель учреждения</t>
  </si>
  <si>
    <r>
      <t xml:space="preserve">по контрактам (договорам), заключенным до начала очередного финансового года без применения норм Федерального </t>
    </r>
    <r>
      <rPr>
        <sz val="12"/>
        <rFont val="Times New Roman"/>
        <family val="1"/>
        <charset val="204"/>
      </rPr>
      <t>закона</t>
    </r>
    <r>
      <rPr>
        <sz val="12"/>
        <color theme="1"/>
        <rFont val="Times New Roman"/>
        <family val="1"/>
        <charset val="204"/>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t>
    </r>
    <r>
      <rPr>
        <sz val="12"/>
        <rFont val="Times New Roman"/>
        <family val="1"/>
        <charset val="204"/>
      </rPr>
      <t>закона</t>
    </r>
    <r>
      <rPr>
        <sz val="12"/>
        <color theme="1"/>
        <rFont val="Times New Roman"/>
        <family val="1"/>
        <charset val="204"/>
      </rPr>
      <t xml:space="preserve"> от 18 июля 2011 г. № 223-ФЗ «О закупках товаров, работ, услуг отдельными видами юридических лиц» (далее  ̶  Федеральный закон № 223-ФЗ) &lt;9&gt;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</si>
  <si>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charset val="204"/>
      </rPr>
      <t>закона</t>
    </r>
    <r>
      <rPr>
        <sz val="12"/>
        <color theme="1"/>
        <rFont val="Times New Roman"/>
        <family val="1"/>
        <charset val="204"/>
      </rPr>
      <t xml:space="preserve"> № 44-ФЗ и Федерального </t>
    </r>
    <r>
      <rPr>
        <sz val="12"/>
        <rFont val="Times New Roman"/>
        <family val="1"/>
        <charset val="204"/>
      </rPr>
      <t>закона</t>
    </r>
    <r>
      <rPr>
        <sz val="12"/>
        <color theme="1"/>
        <rFont val="Times New Roman"/>
        <family val="1"/>
        <charset val="204"/>
      </rPr>
      <t xml:space="preserve"> № 223-ФЗ &lt;9&gt;</t>
    </r>
  </si>
  <si>
    <r>
      <t xml:space="preserve">по контрактам (договорам), заключенным до начала очередного финансового года с учетом требований Федерального </t>
    </r>
    <r>
      <rPr>
        <sz val="12"/>
        <rFont val="Times New Roman"/>
        <family val="1"/>
        <charset val="204"/>
      </rPr>
      <t>закона</t>
    </r>
    <r>
      <rPr>
        <sz val="12"/>
        <color theme="1"/>
        <rFont val="Times New Roman"/>
        <family val="1"/>
        <charset val="204"/>
      </rPr>
      <t xml:space="preserve"> № 44-ФЗ и Федерального </t>
    </r>
    <r>
      <rPr>
        <sz val="12"/>
        <rFont val="Times New Roman"/>
        <family val="1"/>
        <charset val="204"/>
      </rPr>
      <t>закона</t>
    </r>
    <r>
      <rPr>
        <sz val="12"/>
        <color theme="1"/>
        <rFont val="Times New Roman"/>
        <family val="1"/>
        <charset val="204"/>
      </rPr>
      <t xml:space="preserve"> № 223-ФЗ &lt;10&gt;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</si>
  <si>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charset val="204"/>
      </rPr>
      <t>закона</t>
    </r>
    <r>
      <rPr>
        <sz val="12"/>
        <color theme="1"/>
        <rFont val="Times New Roman"/>
        <family val="1"/>
        <charset val="204"/>
      </rPr>
      <t xml:space="preserve"> № 44-ФЗ и Федерального </t>
    </r>
    <r>
      <rPr>
        <sz val="12"/>
        <rFont val="Times New Roman"/>
        <family val="1"/>
        <charset val="204"/>
      </rPr>
      <t>закона</t>
    </r>
    <r>
      <rPr>
        <sz val="12"/>
        <color theme="1"/>
        <rFont val="Times New Roman"/>
        <family val="1"/>
        <charset val="204"/>
      </rPr>
      <t xml:space="preserve"> № 223-ФЗ &lt;10&gt;</t>
    </r>
  </si>
  <si>
    <t>--------------------------------</t>
  </si>
  <si>
    <t>&lt;7&gt;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</si>
  <si>
    <t>&lt;8&gt;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очередного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</si>
  <si>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&lt;9&gt;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</si>
  <si>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&lt;10&gt; Указывается сумма закупок товаров, работ, услуг, осуществляемых в соответствии с Федеральным законом</t>
  </si>
  <si>
    <t>№ 44-ФЗ и Федеральным законом № 223-ФЗ.</t>
  </si>
  <si>
    <t>&lt;11&gt; Муниципальным бюджетным учреждением показатель не формируется.</t>
  </si>
  <si>
    <t>&lt;12&gt; Указывается сумма закупок товаров, работ, услуг, осуществляемых в соответствии с Федеральным законом</t>
  </si>
  <si>
    <t>№ 44-ФЗ.</t>
  </si>
  <si>
    <t>&lt;13&gt;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</si>
  <si>
    <t>Приложение 2</t>
  </si>
  <si>
    <t>муниципального учреждения города Перми</t>
  </si>
  <si>
    <t>Обоснования (расчеты)</t>
  </si>
  <si>
    <t>__________________________________________________________</t>
  </si>
  <si>
    <t>(наименование муниципального учреждения)</t>
  </si>
  <si>
    <t xml:space="preserve">1. Обоснования (расчеты) выплат персоналу (строка 2100) </t>
  </si>
  <si>
    <t>1.1. Обоснования (расчеты) расходов на оплату труда</t>
  </si>
  <si>
    <t>№</t>
  </si>
  <si>
    <t>Среднемесячный размер оплаты труда на одного работника, руб.</t>
  </si>
  <si>
    <t>Ежемесячная надбавка к должностному окладу, %</t>
  </si>
  <si>
    <t>Районный коэффициент</t>
  </si>
  <si>
    <t>всего</t>
  </si>
  <si>
    <t>по должностному окладу</t>
  </si>
  <si>
    <t>по выплатам компенсационного характера</t>
  </si>
  <si>
    <t>Итого:</t>
  </si>
  <si>
    <t>X</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</si>
  <si>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</si>
  <si>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</si>
  <si>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</si>
  <si>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</si>
  <si>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</si>
  <si>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</si>
  <si>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</si>
  <si>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</si>
  <si>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</si>
  <si>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</si>
  <si>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</si>
  <si>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всего (по ставке 5,1%)</t>
  </si>
  <si>
    <t>2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t>
  </si>
  <si>
    <t>6.6. Обоснование (расчет) расходов на оплату прочих работ, услуг</t>
  </si>
  <si>
    <t>Количество договоров</t>
  </si>
  <si>
    <t>Стоимость услуги, руб.</t>
  </si>
  <si>
    <t xml:space="preserve">плана финансово-хозяйственной деятельности </t>
  </si>
  <si>
    <t xml:space="preserve">к Порядку составления и утверждения </t>
  </si>
  <si>
    <t>1.2. Обоснования (расчеты) выплат персоналу при направлении в служебные командировки</t>
  </si>
  <si>
    <t>Наименование расходов</t>
  </si>
  <si>
    <t>Средний размер выплат на одного работника в день, руб.</t>
  </si>
  <si>
    <t>Количество работников, чел.</t>
  </si>
  <si>
    <t>Количество дней</t>
  </si>
  <si>
    <t>Сумма, руб. (гр. 3 x гр. 4 x гр. 5)</t>
  </si>
  <si>
    <t>Численность работников, получающих пособие</t>
  </si>
  <si>
    <t>Количество выплат в год на одного работника</t>
  </si>
  <si>
    <t>Размер выплаты (пособия) в месяц, руб.</t>
  </si>
  <si>
    <r>
      <t xml:space="preserve">обязательное социальное страхование от несчастных случаев на производстве и профессиональных заболеваний по ставке 0,_% </t>
    </r>
    <r>
      <rPr>
        <vertAlign val="superscript"/>
        <sz val="11"/>
        <color theme="1"/>
        <rFont val="Times New Roman"/>
        <family val="1"/>
        <charset val="204"/>
      </rPr>
      <t>2</t>
    </r>
  </si>
  <si>
    <t>1.1</t>
  </si>
  <si>
    <t>1.2</t>
  </si>
  <si>
    <t>1.3</t>
  </si>
  <si>
    <t>2.1</t>
  </si>
  <si>
    <t>2.2</t>
  </si>
  <si>
    <t>2.3</t>
  </si>
  <si>
    <t>2.4</t>
  </si>
  <si>
    <t>2.5</t>
  </si>
  <si>
    <t xml:space="preserve">2. Обоснование (расчет) расходов на социальные и иные выплаты населению (строка 2200) </t>
  </si>
  <si>
    <t>Источник финансового обеспечения _________________________</t>
  </si>
  <si>
    <t>Размер одной выплаты, руб.</t>
  </si>
  <si>
    <t>Количество выплат в год</t>
  </si>
  <si>
    <t>Общая сумма выплат, руб. (гр. 3 x гр. 4)</t>
  </si>
  <si>
    <t>3. Обоснование (расчет) расходов на уплату налогов, сборов и иных платежей (строка 2300)</t>
  </si>
  <si>
    <t>Источник финансового обеспечения _______________________</t>
  </si>
  <si>
    <t>Налоговая база, руб.</t>
  </si>
  <si>
    <t>Ставка налога, %</t>
  </si>
  <si>
    <t>Сумма исчисленного налога, подлежащего уплате, руб. (гр. 3 x гр. 4 / 100)</t>
  </si>
  <si>
    <t>4. Обоснование (расчет) расходов на безвозмездное перечисление организациям и физическим лицам (строка 2400)</t>
  </si>
  <si>
    <t>5. Обоснование (расчет) прочих выплат (кроме выплат на закупку товаров, работ, услуг) (строка 2500)</t>
  </si>
  <si>
    <t>6. Обоснование (расчет) расходов на закупку товаров, работ, услуг (строка 2600)</t>
  </si>
  <si>
    <t>6.1. Обоснование (расчет) расходов на оплату услуг связи</t>
  </si>
  <si>
    <t>Количество номеров</t>
  </si>
  <si>
    <t>Количество платежей в год</t>
  </si>
  <si>
    <t>Стоимость за единицу, руб.</t>
  </si>
  <si>
    <t>6.2. Обоснование (расчет) расходов на оплату транспортных услуг</t>
  </si>
  <si>
    <t>Количество услуг перевозки</t>
  </si>
  <si>
    <t>Цена услуги перевозки, руб.</t>
  </si>
  <si>
    <t>Сумма, руб. (гр. 3 x гр. 4)</t>
  </si>
  <si>
    <t>Размер потребления ресурсов</t>
  </si>
  <si>
    <t>Тариф (с учетом НДС), руб.</t>
  </si>
  <si>
    <t>Индексация, %</t>
  </si>
  <si>
    <t>6.4. Обоснование (расчет) расходов на оплату аренды имущества</t>
  </si>
  <si>
    <t>Количество</t>
  </si>
  <si>
    <t>Ставка арендной платы</t>
  </si>
  <si>
    <t>Стоимость с учетом НДС, руб.</t>
  </si>
  <si>
    <t>6.5. Обоснование (расчет) расходов на оплату работ, услуг по содержанию имущества</t>
  </si>
  <si>
    <t>Объект</t>
  </si>
  <si>
    <t>Количество работ (услуг)</t>
  </si>
  <si>
    <t>Стоимость работ (услуг), руб.</t>
  </si>
  <si>
    <t>6.7. Обоснование (расчет) расходов на приобретение основных средств</t>
  </si>
  <si>
    <t>Средняя стоимость, руб.</t>
  </si>
  <si>
    <t>Стоимость работ (услуг), руб. (гр. 3 x гр. 4)</t>
  </si>
  <si>
    <t>6.8. Обоснование (расчет) расходов на приобретение материальных запасов</t>
  </si>
  <si>
    <t>Итого  выплат по расходам плана ФХД</t>
  </si>
  <si>
    <t>Источник</t>
  </si>
  <si>
    <t>Всего расходов в год, руб.</t>
  </si>
  <si>
    <r>
      <t>Код видов расходов __</t>
    </r>
    <r>
      <rPr>
        <u/>
        <sz val="12"/>
        <color theme="1"/>
        <rFont val="Times New Roman"/>
        <family val="1"/>
        <charset val="204"/>
      </rPr>
      <t>111, 112, 119</t>
    </r>
    <r>
      <rPr>
        <sz val="12"/>
        <color theme="1"/>
        <rFont val="Times New Roman"/>
        <family val="1"/>
        <charset val="204"/>
      </rPr>
      <t>_______________</t>
    </r>
  </si>
  <si>
    <r>
      <t>Источник финансового обеспечения __</t>
    </r>
    <r>
      <rPr>
        <u/>
        <sz val="12"/>
        <color theme="1"/>
        <rFont val="Times New Roman"/>
        <family val="1"/>
        <charset val="204"/>
      </rPr>
      <t>Приносящая доход деятельность (собственные доходы учреждения)</t>
    </r>
    <r>
      <rPr>
        <sz val="12"/>
        <color theme="1"/>
        <rFont val="Times New Roman"/>
        <family val="1"/>
        <charset val="204"/>
      </rPr>
      <t>_____</t>
    </r>
  </si>
  <si>
    <r>
      <t>1.4. Обоснования (расчеты)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r>
    <r>
      <rPr>
        <b/>
        <vertAlign val="superscript"/>
        <sz val="12"/>
        <color theme="1"/>
        <rFont val="Times New Roman"/>
        <family val="1"/>
        <charset val="204"/>
      </rPr>
      <t>1</t>
    </r>
    <r>
      <rPr>
        <b/>
        <sz val="12"/>
        <color theme="1"/>
        <rFont val="Times New Roman"/>
        <family val="1"/>
        <charset val="204"/>
      </rPr>
      <t xml:space="preserve"> </t>
    </r>
  </si>
  <si>
    <r>
      <t>Код видов расходов __</t>
    </r>
    <r>
      <rPr>
        <u/>
        <sz val="12"/>
        <color theme="1"/>
        <rFont val="Times New Roman"/>
        <family val="1"/>
        <charset val="204"/>
      </rPr>
      <t>321-350</t>
    </r>
    <r>
      <rPr>
        <sz val="12"/>
        <color theme="1"/>
        <rFont val="Times New Roman"/>
        <family val="1"/>
        <charset val="204"/>
      </rPr>
      <t>_________</t>
    </r>
  </si>
  <si>
    <r>
      <t>Код видов расходов _____</t>
    </r>
    <r>
      <rPr>
        <u/>
        <sz val="12"/>
        <color theme="1"/>
        <rFont val="Times New Roman"/>
        <family val="1"/>
        <charset val="204"/>
      </rPr>
      <t>862</t>
    </r>
    <r>
      <rPr>
        <sz val="12"/>
        <color theme="1"/>
        <rFont val="Times New Roman"/>
        <family val="1"/>
        <charset val="204"/>
      </rPr>
      <t>_______________</t>
    </r>
  </si>
  <si>
    <r>
      <t>Код видов расходов ____</t>
    </r>
    <r>
      <rPr>
        <u/>
        <sz val="12"/>
        <color theme="1"/>
        <rFont val="Times New Roman"/>
        <family val="1"/>
        <charset val="204"/>
      </rPr>
      <t>851-853</t>
    </r>
    <r>
      <rPr>
        <sz val="12"/>
        <color theme="1"/>
        <rFont val="Times New Roman"/>
        <family val="1"/>
        <charset val="204"/>
      </rPr>
      <t>___________________</t>
    </r>
  </si>
  <si>
    <r>
      <t>Код видов расходов ______</t>
    </r>
    <r>
      <rPr>
        <u/>
        <sz val="12"/>
        <color theme="1"/>
        <rFont val="Times New Roman"/>
        <family val="1"/>
        <charset val="204"/>
      </rPr>
      <t>831</t>
    </r>
    <r>
      <rPr>
        <sz val="12"/>
        <color theme="1"/>
        <rFont val="Times New Roman"/>
        <family val="1"/>
        <charset val="204"/>
      </rPr>
      <t>___________________</t>
    </r>
  </si>
  <si>
    <t>телефон _____________________</t>
  </si>
  <si>
    <t>150</t>
  </si>
  <si>
    <r>
      <t xml:space="preserve">Обоснования (расчеты)  </t>
    </r>
    <r>
      <rPr>
        <b/>
        <u/>
        <sz val="12"/>
        <color theme="1"/>
        <rFont val="Times New Roman"/>
        <family val="1"/>
        <charset val="204"/>
      </rPr>
      <t>ДОХОДОВ</t>
    </r>
  </si>
  <si>
    <t>Наименование  муниципального  учреждения   ________________________________________________________</t>
  </si>
  <si>
    <t>1. Обоснования (расчеты) поступлений от использования собственности</t>
  </si>
  <si>
    <t>Код аналитической группы подвида доходов</t>
  </si>
  <si>
    <t xml:space="preserve">      120 (121)</t>
  </si>
  <si>
    <t>Источник финансового обеспечения</t>
  </si>
  <si>
    <t>Адрес помещения, сдаваемого в аренду</t>
  </si>
  <si>
    <t>Дата и номер договора аренды</t>
  </si>
  <si>
    <t xml:space="preserve">Аренда недвижимого имущества </t>
  </si>
  <si>
    <t>Почасовая аренда недвижимого имущества</t>
  </si>
  <si>
    <t>Аренда особо ценного движимого имущества</t>
  </si>
  <si>
    <t>Аренда иного движимого имущества</t>
  </si>
  <si>
    <t>на постоянной основе</t>
  </si>
  <si>
    <t>Количество часов аренды в текущем году</t>
  </si>
  <si>
    <t>Итого</t>
  </si>
  <si>
    <t>x</t>
  </si>
  <si>
    <t>2. Обоснования (расчеты) поступлений родительской платы за услугу присмотра и ухода</t>
  </si>
  <si>
    <t>Наименование муниципальной услуги</t>
  </si>
  <si>
    <t>Размер платы родителей (руб./день)</t>
  </si>
  <si>
    <t>Контингент воспитанников, чел.</t>
  </si>
  <si>
    <t>Выпадающий доход в виде компенсации, руб.</t>
  </si>
  <si>
    <t>группа полного дня</t>
  </si>
  <si>
    <t>группа кратковременного пребывания</t>
  </si>
  <si>
    <t>Услуга присмотра и ухода (возраст до 3 лет)</t>
  </si>
  <si>
    <t>Услуга присмотра и ухода (возраст от 3 до 8 лет)</t>
  </si>
  <si>
    <r>
      <t>3. Обоснования (расчеты) поступлений от платных образовательных услуг</t>
    </r>
    <r>
      <rPr>
        <sz val="12"/>
        <color theme="1"/>
        <rFont val="Times New Roman"/>
        <family val="1"/>
        <charset val="204"/>
      </rPr>
      <t> </t>
    </r>
  </si>
  <si>
    <t>Количество получателей услуг, чел.</t>
  </si>
  <si>
    <t>Количество месяцев предоставления услуги</t>
  </si>
  <si>
    <t>4. Обоснования (расчеты) поступлений от платных услуг необразовательного характера</t>
  </si>
  <si>
    <t>Наименование платных услуг необразовательного характера</t>
  </si>
  <si>
    <t>Количество часов/месяцев предоставления услуги</t>
  </si>
  <si>
    <t>час</t>
  </si>
  <si>
    <t>месяц</t>
  </si>
  <si>
    <t>5. Обоснования (расчеты) поступлений от возмещения затрат по оплате коммунальных услуг, услуг по эксплуатации</t>
  </si>
  <si>
    <t>и хозяйственному обслуживанию арендуемого здания (помещения)</t>
  </si>
  <si>
    <t>Вид услуги*</t>
  </si>
  <si>
    <r>
      <t>·</t>
    </r>
    <r>
      <rPr>
        <sz val="7"/>
        <color theme="1"/>
        <rFont val="Times New Roman"/>
        <family val="1"/>
        <charset val="204"/>
      </rPr>
      <t xml:space="preserve">         </t>
    </r>
    <r>
      <rPr>
        <b/>
        <sz val="12"/>
        <color theme="1"/>
        <rFont val="Times New Roman"/>
        <family val="1"/>
        <charset val="204"/>
      </rPr>
      <t>По каждому помещению, сдаваемому в аренду</t>
    </r>
  </si>
  <si>
    <t>6. Обоснования (расчеты) поступлений от штрафов, пени, возмещения ущерба</t>
  </si>
  <si>
    <t>Наименование показателя</t>
  </si>
  <si>
    <t>7. Обоснования (расчеты) поступлений от грантов</t>
  </si>
  <si>
    <t>Наименование организации - грантодателя</t>
  </si>
  <si>
    <t>8. Обоснования (расчеты) поступлений от добровольных пожертвований и целевых взносов</t>
  </si>
  <si>
    <t>Организация (физ. лицо)</t>
  </si>
  <si>
    <t>9. Обоснования (расчеты) по начислению налогов</t>
  </si>
  <si>
    <t>Наименование показателя (вид налога)</t>
  </si>
  <si>
    <t>10. Обоснования (расчеты) прочих поступлений от увеличения остатков денежных средств за счет возврата дебиторской задолженности прошлых лет</t>
  </si>
  <si>
    <t>приносящая доход деятельность</t>
  </si>
  <si>
    <t>Площадь помещений, сдаваемых в аренду, кв.м</t>
  </si>
  <si>
    <t>Количество месяцев аренды в текущем году</t>
  </si>
  <si>
    <t>Количество месяцев аренды</t>
  </si>
  <si>
    <t>Сумма поступлений от оказания услуг в год, руб. (гр. 5 × гр. 6)</t>
  </si>
  <si>
    <t>Стоимость услуги в месяц, руб.</t>
  </si>
  <si>
    <t>Стоимость услуги за час, руб.</t>
  </si>
  <si>
    <t>Наименование платных образовательных услуг</t>
  </si>
  <si>
    <t>Сумма поступлений от оказания услуг в год, руб. (гр. 5 × гр. 6)</t>
  </si>
  <si>
    <t>130 (135)</t>
  </si>
  <si>
    <t>Стоимость энергоресурсов, возмещаемая арендаторами, руб. (гр. 3 / гр. 4× гр. 5)</t>
  </si>
  <si>
    <t>Площадь помещения, передаваемого в аренду, кв. м</t>
  </si>
  <si>
    <t>Площадь здания, кв. м</t>
  </si>
  <si>
    <t>Годовая стоимость энергоресурсов по зданию, руб.</t>
  </si>
  <si>
    <t>141-145</t>
  </si>
  <si>
    <t>Сумма поступлений от штрафов, пени, возмещения ущерба, руб.</t>
  </si>
  <si>
    <t>Сумма гранта, руб.</t>
  </si>
  <si>
    <t>Сумма целевых взносов, руб.</t>
  </si>
  <si>
    <t>Сумма добровольных пожертвований, руб.</t>
  </si>
  <si>
    <t>Сумма начисленных налогов, руб.</t>
  </si>
  <si>
    <t>Сумма остатков денежных средств за счет возврата дебиторской задолженности прошлых лет, руб.</t>
  </si>
  <si>
    <t>Плановое функционирование в году (дней)</t>
  </si>
  <si>
    <t>Сумма родительской платы, руб.                       (с учетом льготной категории детей)  руб.</t>
  </si>
  <si>
    <t>Количество воспитанников льготных категорий, из них   (чел)</t>
  </si>
  <si>
    <t>Сумма  льготы родительской платы  льготной категории, руб. (гр.3* гр.7 * гр.10) *50% + (гр.4 * гр.7 * гр.11) *50% + (гр.3 * гр.7 * гр.12)*100% + (гр.4 * гр.7 * гр.13)*100%</t>
  </si>
  <si>
    <t>Всего сумма родительской платы за услугу присмотра и ухода, руб. 
(гр.9 + гр.8 - гр.14 - гр.15)</t>
  </si>
  <si>
    <t>группа полного дня (гр.3 х гр.5 х гр.7)</t>
  </si>
  <si>
    <t>группа кратковременного пребывания (гр.4 х гр. 6 х гр.7)</t>
  </si>
  <si>
    <r>
      <t>1</t>
    </r>
    <r>
      <rPr>
        <sz val="9"/>
        <color theme="1"/>
        <rFont val="Times New Roman"/>
        <family val="1"/>
        <charset val="204"/>
      </rPr>
      <t xml:space="preserve"> При расчете плановых показателей страховых взносов в Пенсионный фонд Российской Федерации на обязательное пенсионное страхование,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 в Федеральный фонд обязательного медицинского страхования на обязательное медицинское страхование,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 установленные законодательством Российской Федерации.</t>
    </r>
  </si>
  <si>
    <t>Итого  выплат по доходам плана ФХД</t>
  </si>
  <si>
    <t>Всего доходов в год, руб.</t>
  </si>
  <si>
    <t>800000000</t>
  </si>
  <si>
    <t>5</t>
  </si>
  <si>
    <t>901480000</t>
  </si>
  <si>
    <t>901060000</t>
  </si>
  <si>
    <t>901600000</t>
  </si>
  <si>
    <t>6</t>
  </si>
  <si>
    <t>901300000</t>
  </si>
  <si>
    <t xml:space="preserve">субсидии на финансовое обеспечение выполнения муниципального задания </t>
  </si>
  <si>
    <t>901750000</t>
  </si>
  <si>
    <t>901360000</t>
  </si>
  <si>
    <t>страх. Доу</t>
  </si>
  <si>
    <t>оплата водоснабжения</t>
  </si>
  <si>
    <t>увеличение стоимости прочих материальных запасов однократного применения</t>
  </si>
  <si>
    <t>07402006303000000</t>
  </si>
  <si>
    <t>1. Обоснования (расчеты) объема субсидии на выполнение муниципального задания за счет бюджета Пермского края</t>
  </si>
  <si>
    <t xml:space="preserve">к плану финансово-хозяйственной деятельности на 2020 год </t>
  </si>
  <si>
    <t>Наименование  муниципального  учреждения</t>
  </si>
  <si>
    <t>муниципальное задание</t>
  </si>
  <si>
    <t>130 (131)</t>
  </si>
  <si>
    <t>Наименование услуги</t>
  </si>
  <si>
    <t>Контингент</t>
  </si>
  <si>
    <t>Норматив</t>
  </si>
  <si>
    <t>Сумма, руб</t>
  </si>
  <si>
    <t>Корректировка муниципального задания</t>
  </si>
  <si>
    <t>Финансовое обеспечение, руб.</t>
  </si>
  <si>
    <t>1</t>
  </si>
  <si>
    <t>ФОТ</t>
  </si>
  <si>
    <t>ФМО</t>
  </si>
  <si>
    <t>1.4</t>
  </si>
  <si>
    <t>1.5</t>
  </si>
  <si>
    <t>2. Обоснования (расчеты) объема субсидии на выполнение муниципального задания за счет бюджета города Перми</t>
  </si>
  <si>
    <t>Уменьшение финансового обеспечения содержания имущества, сданного в аренду</t>
  </si>
  <si>
    <t>3. Обоснования (расчеты) объема финансового обеспечения на нормативные затраты на содержание муниципального имущества за счет средств бюджета города Перми</t>
  </si>
  <si>
    <t>Финансовое обеспечение, руб</t>
  </si>
  <si>
    <t>Нормативные затраты на содержание муниципального имущества</t>
  </si>
  <si>
    <t>4. Обоснования (расчеты) объема финансового обеспечения на затраты на уплату налогов за счет средств бюджета города Перми</t>
  </si>
  <si>
    <t>Затраты на уплату налогов</t>
  </si>
  <si>
    <t>Земельный налог</t>
  </si>
  <si>
    <t>Налог на имущество организаций</t>
  </si>
  <si>
    <t>Итого поступления субсидии на выполнение муниципального задания плана ФХД</t>
  </si>
  <si>
    <t>N</t>
  </si>
  <si>
    <t>Всего расходов  в год, руб.</t>
  </si>
  <si>
    <t>Бюджет Пермского края</t>
  </si>
  <si>
    <t>Бюджет города Перми</t>
  </si>
  <si>
    <t>Руководитель учреждения:</t>
  </si>
  <si>
    <t>(ФИО)</t>
  </si>
  <si>
    <t>Исполнитель:</t>
  </si>
  <si>
    <t>1. Обоснования (расчеты) объема субсидий на реализацию отдельных мероприятий муниципальных программ, ведомственных целевых программ за счет средств бюджета города Перми</t>
  </si>
  <si>
    <t>субсидии на иные цели</t>
  </si>
  <si>
    <t>150 (152)</t>
  </si>
  <si>
    <t>Вид субсидии</t>
  </si>
  <si>
    <t>2. Обоснования (расчеты) объема субсидий на иные цели, определенные правовыми актами города Перми, предусмотренные в бюджете города Перми на указанные цели</t>
  </si>
  <si>
    <t>3. Обоснования (расчеты) объема субсидий на иные цели за счет межбюджетных трансфертов, предоставляемых бюджетом Пермского края</t>
  </si>
  <si>
    <t>Итого поступления субсидий на иные цели плана ФХД</t>
  </si>
  <si>
    <t>1. Обоснования (расчеты) объема субсидий на осуществление капитальных вложений в объекты капитального строительства</t>
  </si>
  <si>
    <t>капитальные вложения</t>
  </si>
  <si>
    <t>160 (162)</t>
  </si>
  <si>
    <t>Федеральный бюджет</t>
  </si>
  <si>
    <t>Расчеты (обоснования) к плану финансово-хозяйственной деятельности на 2019 год и плановый период 2020 и 2021 гг.</t>
  </si>
  <si>
    <t>1.Расчеты (обоснования) выплат персоналу (строка 210) &lt;2&gt;</t>
  </si>
  <si>
    <t>Код видов расходов 111, 112, 119</t>
  </si>
  <si>
    <t xml:space="preserve">Субсидии на выполнение государственного (муниципального) задания </t>
  </si>
  <si>
    <t>1.1. Расчеты (обоснования) расходов на оплату труда</t>
  </si>
  <si>
    <t>Должность, 
группа должностей</t>
  </si>
  <si>
    <t>Установленная численность, единиц</t>
  </si>
  <si>
    <t>Фонд оплаты труда в год, руб. (гр. 3 x гр. 4 x 
(1 + гр. 8 / 100) x 
гр. 9 x 12)</t>
  </si>
  <si>
    <t>Источник финансирования</t>
  </si>
  <si>
    <t>по выплатам стимулирующего характера</t>
  </si>
  <si>
    <t>АУП</t>
  </si>
  <si>
    <t xml:space="preserve">Бюджет Пермского края </t>
  </si>
  <si>
    <t>Педагоги</t>
  </si>
  <si>
    <t>Учителя</t>
  </si>
  <si>
    <t>Прочие</t>
  </si>
  <si>
    <t xml:space="preserve">Итого: </t>
  </si>
  <si>
    <t>&lt;1&gt; Расчеты (обоснования) плановых показателей по выплатам формируются раздельно по источникам финансового обеспечения в случае принятия органом, осуществляющим функции и полномочия учредителя, решения о планировании выплат по соответствующим расходам (по строкам 210-250 в графах 5-10) раздельно по источникам их финансового обеспечения.
&lt;2&gt; В расчет (обоснование) плановых показателей выплат персоналу (строка 210 в таблицах 2, 3, 4 приложения к Порядку) включаются расходы на оплату труда, компенсационные выплаты, включая пособия, выплачиваемые из фонда оплаты труда, а также страховые взносы на обязательное пенсионное страхование, на обязательное социальное страхование на случай временной нетрудоспособности и в связи с материнством, на обязательное социальное страхование от несчастных случаев на производстве и профессиональных заболеваний, на обязательное медицинское страхование. При расчете плановых показателей по оплате труда учитывается расчетная численность работников, включая основной персонал, вспомогательный персонал, административно-управленческий персонал, обслуживающий персонал, расчетные должностные оклады, ежемесячные надбавки к должностному окладу, районные коэффициенты, стимулирующие выплаты, компенсационные выплаты, в том числе за работу с вредными и (или) опасными условиями труда, при выполнении работ в других условиях, отклоняющихся от нормальных, а также иные выплаты, предусмотренные законодательством Российской Федерации, локальными нормативными актами Учреждения в соответствии с утвержденным штатным расписанием, а также индексация указанных выплат.
При расчете плановых показателей выплат компенсационного характера персоналу учреждений, не включаемых в фонд оплаты труда, учитываются выплаты по возмещению работникам (сотрудникам) расходов, связанных со служебными командировками, возмещению расходов на прохождение медицинского осмотра, компенсации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 иные компенсационные выплаты работникам, предусмотренные законодательством Российской Федерации, локальными нормативными актами Учреждения.</t>
  </si>
  <si>
    <t xml:space="preserve">1.2. Расчеты (обоснования) выплат персоналу при направлении в служебные командировки </t>
  </si>
  <si>
    <t>Средний размер выплаты на одного работника в день, руб.</t>
  </si>
  <si>
    <t>Количество 
дней</t>
  </si>
  <si>
    <t>Сумма в год, руб. (гр. 3 х гр. 4 х гр. 5)</t>
  </si>
  <si>
    <t>Всего</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</si>
  <si>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</si>
  <si>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&lt;3&gt;</t>
  </si>
  <si>
    <t xml:space="preserve">Размер базы для начисления страховых взносов, руб
</t>
  </si>
  <si>
    <t>Сумма  в год, руб.</t>
  </si>
  <si>
    <t xml:space="preserve">Сумма взноса, руб
</t>
  </si>
  <si>
    <t>в том числе:
по ставке 22,0%</t>
  </si>
  <si>
    <t>2.1.</t>
  </si>
  <si>
    <t>в том числе:
обязательное социальное страхование на случай временной нетрудоспособности и в связи с материнством по ставке 2,9%</t>
  </si>
  <si>
    <t>2.2.</t>
  </si>
  <si>
    <t>2.3.</t>
  </si>
  <si>
    <t>2.4.</t>
  </si>
  <si>
    <t>обязательное социальное страхование от несчастных случаев на производстве и профессиональных заболеваний по ставке 0,_% &lt;4&gt;</t>
  </si>
  <si>
    <t>2.5.</t>
  </si>
  <si>
    <t>&lt;3&gt; При расчете плановых показателей страховых взносов в Пенсионный фонд Российской Федерации на обязательное пенсионное страхование,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 в Федеральный фонд обязательного медицинского страхования на обязательное медицинское страхование,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 установленные законодательством Российской Федерации.
&lt;4&gt; Указываются страховые тарифы, дифференцированные по классам профессионального риска, установленные Федеральным законом от 22 декабря 2005 г. N 179-ФЗ "О страховых тарифах на обязательное социальное страхование от несчастных случаев на производстве и профессиональных заболеваний на 2006 год".</t>
  </si>
  <si>
    <t>2. Расчет (обоснование) расходов на социальные и иные выплаты населению (строка 220) &lt;5&gt;</t>
  </si>
  <si>
    <t>Код видов расходов 321-350</t>
  </si>
  <si>
    <t>Субсидии на выполнение государственного (муниципального) задания</t>
  </si>
  <si>
    <t>Количество 
выплат в год</t>
  </si>
  <si>
    <t>Общая сумма выплат, руб. 
(гр. 3 x гр. 4)</t>
  </si>
  <si>
    <t>&lt;5&gt; Расчет (обоснование) плановых показателей социальных и иных выплат населению (строка 220 в таблицах 2, 3, 4 приложения к Порядку), не связанных с выплатами работникам, возникающими в рамках трудовых отношений (расходов по социальному обеспечению населения вне рамок систем государственного пенсионного, социального, медицинского страхования, в том числе на оплату медицинского обслуживания, оплату путевок на санаторно-курортное лечение и в детские оздоровительные лагеря, а также выплат бывшим работникам учреждений, в том числе к памятным датам, профессиональным праздникам, осуществляется с учетом количества планируемых выплат в год и их размера.</t>
  </si>
  <si>
    <t>3. Расчет (обоснование) расходов на уплату налогов, сборов и иных платежей (строка 230) &lt;6&gt;</t>
  </si>
  <si>
    <t>Код видов расходов 851-853</t>
  </si>
  <si>
    <t xml:space="preserve">Наименование расходов
</t>
  </si>
  <si>
    <t xml:space="preserve">Сумма исчисленного налога, подлежащего уплате, руб. (гр. 3 x гр. 4 / 100)
</t>
  </si>
  <si>
    <t>Налог на имущество</t>
  </si>
  <si>
    <t>Плата за негативное воздействие на окружающую среду</t>
  </si>
  <si>
    <t>&lt;6&gt; Расчет (обоснование) расходов по уплате налогов, сборов и иных платежей (строка 230 в таблицах 2, 3, 4 приложения к Порядку) осуществляется с учетом объекта налогообложения, особенностей определения налоговой базы, налоговых льгот, оснований и порядка их применения, а также налоговой ставки, порядка и сроков уплаты по каждому налогу в соответствии с законодательством Российской Федерации о налогах и сборах.</t>
  </si>
  <si>
    <t>4.  Расчет (обоснование) расходов на безвозмездное перечисление организациям (строка 240) &lt;7&gt;</t>
  </si>
  <si>
    <t xml:space="preserve">
</t>
  </si>
  <si>
    <t>Код видов расходов</t>
  </si>
  <si>
    <t>&lt;7&gt; Расчет (обоснование) плановых показателей безвозмездных перечислений организациям (строка 240 в таблицах 2, 3, 4 приложения к Порядку) осуществляется с учетом количества планируемых безвозмездных перечислений организациям в год и их размера.</t>
  </si>
  <si>
    <t>5. Расчет (обоснование) прочих расходов (кроме расходов на закупку товаров, работ, услуг) (строка 250) &lt;8&gt;</t>
  </si>
  <si>
    <t>&lt;8&gt; Расчет (обоснование) прочих расходов (кроме расходов на закупку товаров, работ, услуг) (строка 250 в таблицах 2, 3, 4 приложения к Порядку) осуществляется по видам выплат с учетом количества планируемых выплат в год и их размера.</t>
  </si>
  <si>
    <t>6. Расчет (обоснование) расходов на закупку товаров, работ, услуг (строка 260) &lt;9&gt;</t>
  </si>
  <si>
    <t>Код видов расходов 244</t>
  </si>
  <si>
    <t>6.1. Расчет (обоснование) расходов на оплату услуг связи</t>
  </si>
  <si>
    <t>Сумма, руб. 
(гр. 3 x гр. 4 x 
гр. 5)</t>
  </si>
  <si>
    <t xml:space="preserve"> Итого:</t>
  </si>
  <si>
    <t>&lt;9&gt; В расчет расходов на закупку товаров, работ, услуг (строка 260 в таблицах 2, 3, 4 приложения к Порядку) включаются расходы на оплату услуг связи, транспортных услуг, коммунальных услуг, на оплату аренды имущества, содержание имущества, прочих работ и услуг (к примеру, услуг по страхованию, в том числе обязательному страхованию гражданской ответственности владельцев транспортных средств, медицинских осмотров, информационных услуг, консультационных услуг, экспертных услуг, типографских работ, научно-исследовательских работ), определяемых с учетом требований к закупаемым заказчиками отдельным видам товаров, работ, услуг в соответствии с законодательством Российской Федерации о контрактной системе в сфере закупок товаров, работ для обеспечения государственных и муниципальных нужд.
Расчет плановых показателей на оплату услуг связи должен учитывать количество абонентских номеров, подключенных к сети связи, цены услуг связи, ежемесячную абонентскую плату в расчете на один абонентский номер, количество месяцев предоставления услуги; размер повременной оплаты междугородних, международных и местных телефонных соединений, а также стоимость услуг при повременной оплате услуг телефонной связи, количество пересылаемой корреспонденции, в том числе с использованием фельдъегерской и специальной связи, стоимость пересылки почтовой корреспонденции за единицу услуги, стоимость аренды интернет-канала, повременной оплаты за интернет-услуги или оплаты интернет-трафика.</t>
  </si>
  <si>
    <t xml:space="preserve"> 6.2. Расчет (обоснование) расходов на оплату транспортных услуг &lt;10&gt;</t>
  </si>
  <si>
    <t>Количество 
услуг 
перевозки</t>
  </si>
  <si>
    <t>Цена услуги перевозки, 
руб.</t>
  </si>
  <si>
    <t>Сумма, руб. 
(гр. 3 x гр. 4)</t>
  </si>
  <si>
    <t>&lt;10&gt; Расчет (обоснование) плановых показателей по оплате транспортных услуг осуществляется с учетом видов услуг по перевозке (транспортировке) грузов, пассажирских перевозок (количества заключенных договоров) и стоимости указанных услуг.</t>
  </si>
  <si>
    <t>6.3. Расчет (обоснование) расходов на оплату коммунальных услуг &lt;11&gt;</t>
  </si>
  <si>
    <t>Тариф 
(с учетом НДС), руб.</t>
  </si>
  <si>
    <t>Индексация, 
%</t>
  </si>
  <si>
    <t>&lt;11&gt; Расчет (обоснование) плановых показателей по оплате коммунальных услуг включает в себя расчеты расходов на газоснабжение (иные виды топлива), на электроснабжение, теплоснабжение, горячее водоснабжение, холодное водоснабжение и водоотведение с учетом количества заключенных договоров о предоставлении коммунальных услуг, объектов, тарифов на оказание коммунальных услуг (в том числе с учетом применяемого одноставочного, дифференцированного по зонам суток или двуставочного тарифа на электроэнергию), расчетной потребности планового потребления услуг и затраты на транспортировку топлива (при наличии).</t>
  </si>
  <si>
    <t>6.4. Расчет (обоснование) расходов на оплату аренды имущества &lt;12&gt;</t>
  </si>
  <si>
    <t>Ставка 
арендной 
платы</t>
  </si>
  <si>
    <t>Стоимость 
с учетом НДС, 
руб.</t>
  </si>
  <si>
    <t>&lt;12&gt; Расчеты (обоснования) расходов на оплату аренды имущества, в том числе объектов недвижимого имущества, определяются с учетом арендуемой площади (количества арендуемого оборудования, иного имущества), количества месяцев (суток, часов) аренды, цены аренды в месяц (сутки, час), а также стоимости возмещаемых услуг (по содержанию имущества, его охране, потребляемых коммунальных услуг).</t>
  </si>
  <si>
    <t>6.5. Расчет (обоснование) расходов на оплату работ, услуг по содержанию имущества &lt;13&gt;</t>
  </si>
  <si>
    <t>Количество 
работ 
(услуг)</t>
  </si>
  <si>
    <t>Стоимость 
работ (услуг), 
руб.</t>
  </si>
  <si>
    <t>&lt;13&gt; Расчеты (обоснования) расходов на содержание имущества осуществляются с учетом планов ремонтных работ и их сметной стоимости, определенной с учетом необходимого объема ремонтных работ, графика регламентно-профилактических работ по ремонту оборудования, требований у санитарно-гигиеническому обслуживанию, охране труда (включая уборку помещений и территории, вывоз твердых бытовых отходов, мойку, химическую чистку, дезинфекцию, дезинсекцию), а также правил его эксплуатации для оказания государственной (муниципальной) услуги.</t>
  </si>
  <si>
    <t>6.6. Расчет (обоснование) расходов на оплату прочих работ, услуг &lt;14&gt;</t>
  </si>
  <si>
    <t>Стоимость 
услуги, руб.</t>
  </si>
  <si>
    <t>&lt;14&gt; Расчеты (обоснования) расходов на оплату работ и услуг, не относящихся к расходам на оплату услуг связи, транспортных расходов, коммунальных услуг, расходов на аренду имущества, а также работ и услуг по его содержанию, включают в себя расчеты необходимых выплат на страхование, в том числе на обязательное страхование гражданской ответственности владельцев транспортных средств, типографские услуги, информационные услуги с учетом количества печатных изданий, количества подаваемых объявлений, количества приобретаемых бланков строгой отчетности, приобретаемых периодических изданий.
Страховая премия (страховые взносы) определяется в соответствии с количеством застрахованных работников, застрахованного имущества, с учетом базовых ставок страховых тарифов и поправочных коэффициентов к ним, определяемых с учетом технических характеристик застрахованного имущества, характера страхового риска и условий договора страхования, в том числе наличия франшизы и ее размера в соответствии с условиями договора страхования.
Расходы на повышение квалификации (профессиональную переподготовку) определяются с учетом требований законодательства Российской Федерации, количества работников, направляемых на повышение квалификации, и цены обучения одного работника по каждому виду дополнительного профессионального образования.</t>
  </si>
  <si>
    <t>6.7.  Расчет (обоснование) расходов на приобретение основных средств &lt;15&gt;</t>
  </si>
  <si>
    <t>Стоимость работ (услуг), руб. (гр. 3 х гр. 4)</t>
  </si>
  <si>
    <t>6.8.  Расчет (обоснование) расходов на приобретение материальных запасов &lt;15&gt;</t>
  </si>
  <si>
    <t>&lt;15&gt; Расчеты (обоснования) расходов на приобретение основных средств (к примеру, оборудования, транспортных средств, мебели, инвентаря, бытовых приборов) осуществляются с учетом среднего срока эксплуатации амортизируемого имущества. При расчетах (обоснованиях) применяются нормы обеспеченности таким имуществом, выраженные в натуральных показателях, установленные правовыми актами, а также стоимость приобретения необходимого имущества, определенная методом сопоставимых рыночных цен (анализа рынка), заключающимся в анализе информации о рыночных ценах идентичных (однородных) товаров, работ, услуг, в том числе информации о ценах организаций-изготовителей, об уровне цен, имеющихся у органов государственной статистики, а также в средствах массовой информации и специальной литературе, включая официальные сайты в информационно-телекоммуникационной сети "Интернет" производителей и поставщиков.
Расчеты (обоснования) расходов на приобретение материальных запасов осуществляются с учетом потребности в продуктах питания, лекарственных средствах, горюче-смазочных и строительных материалах, мягком инвентаре и специальной одежде и обуви, запасных частях к оборудованию и транспортным средствам, хозяйственных товарах и канцелярских принадлежностях в соответствии с нормами обеспеченности таким имуществом, выраженными в натуральных показателях.</t>
  </si>
  <si>
    <t>6.9.  Расчет (обоснование) расходов на прочие расходы</t>
  </si>
  <si>
    <t>Итого выплат по расходам плана ФХД</t>
  </si>
  <si>
    <t>Субсидии на иные цели</t>
  </si>
  <si>
    <t>Меры социальной поддержки учащимся из малоимущих семей в части удешевления питания</t>
  </si>
  <si>
    <t>Меры социальной поддержки учащимся из многодетных малоимущих семей в части удешевления питания</t>
  </si>
  <si>
    <t>Меры социальной поддержки учащимся из многодетных малоимущих семей в части приобретения одежды (мальчики)</t>
  </si>
  <si>
    <t>Меры социальной поддержки учащимся из многодетных малоимущих семей в части приобретения одежды (девочки)</t>
  </si>
  <si>
    <t>Предоставление бесплатного питания отдельным категориям учащихся в общеобразовательных учреждениях</t>
  </si>
  <si>
    <t xml:space="preserve"> Предоставление бесплатного двухразового питания учащимся с ограниченными возможностями здоровья</t>
  </si>
  <si>
    <t>7</t>
  </si>
  <si>
    <t>8</t>
  </si>
  <si>
    <t>Код видов расходов______________________________________________________________</t>
  </si>
  <si>
    <t>Источник финансового обеспечения________________________________________________</t>
  </si>
  <si>
    <t>Код видов расходов 407</t>
  </si>
  <si>
    <t>Капитальные вложения</t>
  </si>
  <si>
    <t>Всего поступления  в год, руб.</t>
  </si>
  <si>
    <t>Аналитическая группа &lt;1.1&gt;</t>
  </si>
  <si>
    <t>&lt;1.1&gt; В графе 8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и (или) коды иных аналитических показателей.</t>
  </si>
  <si>
    <r>
      <t>на 20</t>
    </r>
    <r>
      <rPr>
        <u/>
        <sz val="10"/>
        <color theme="1"/>
        <rFont val="Times New Roman"/>
        <family val="1"/>
        <charset val="204"/>
      </rPr>
      <t>21</t>
    </r>
    <r>
      <rPr>
        <sz val="10"/>
        <color theme="1"/>
        <rFont val="Times New Roman"/>
        <family val="1"/>
        <charset val="204"/>
      </rPr>
      <t xml:space="preserve"> г. очередной финансовый год</t>
    </r>
  </si>
  <si>
    <r>
      <t>на 20</t>
    </r>
    <r>
      <rPr>
        <u/>
        <sz val="10"/>
        <color theme="1"/>
        <rFont val="Times New Roman"/>
        <family val="1"/>
        <charset val="204"/>
      </rPr>
      <t>22</t>
    </r>
    <r>
      <rPr>
        <sz val="10"/>
        <color theme="1"/>
        <rFont val="Times New Roman"/>
        <family val="1"/>
        <charset val="204"/>
      </rPr>
      <t xml:space="preserve"> г. первый год планового периода</t>
    </r>
  </si>
  <si>
    <r>
      <t>на 20</t>
    </r>
    <r>
      <rPr>
        <u/>
        <sz val="10"/>
        <color theme="1"/>
        <rFont val="Times New Roman"/>
        <family val="1"/>
        <charset val="204"/>
      </rPr>
      <t>23</t>
    </r>
    <r>
      <rPr>
        <sz val="10"/>
        <color theme="1"/>
        <rFont val="Times New Roman"/>
        <family val="1"/>
        <charset val="204"/>
      </rPr>
      <t xml:space="preserve"> г. второй год планового периода</t>
    </r>
  </si>
  <si>
    <t>120</t>
  </si>
  <si>
    <t>140</t>
  </si>
  <si>
    <t>поступления текущего характера от иных резидентов (за исключением сектора государственного управления)</t>
  </si>
  <si>
    <t>440</t>
  </si>
  <si>
    <t>00.0.00.00000.1.000000</t>
  </si>
  <si>
    <t>000000000</t>
  </si>
  <si>
    <r>
      <t>к плану финансово-хозяйственной деятельности на 20</t>
    </r>
    <r>
      <rPr>
        <b/>
        <u/>
        <sz val="12"/>
        <color theme="1"/>
        <rFont val="Times New Roman"/>
        <family val="1"/>
        <charset val="204"/>
      </rPr>
      <t xml:space="preserve"> 21</t>
    </r>
    <r>
      <rPr>
        <b/>
        <sz val="12"/>
        <color theme="1"/>
        <rFont val="Times New Roman"/>
        <family val="1"/>
        <charset val="204"/>
      </rPr>
      <t xml:space="preserve"> год </t>
    </r>
  </si>
  <si>
    <r>
      <t>к плану финансово-хозяйственной деятельности на 20</t>
    </r>
    <r>
      <rPr>
        <b/>
        <u/>
        <sz val="11"/>
        <color theme="1"/>
        <rFont val="Times New Roman"/>
        <family val="1"/>
        <charset val="204"/>
      </rPr>
      <t>21</t>
    </r>
    <r>
      <rPr>
        <b/>
        <sz val="11"/>
        <color theme="1"/>
        <rFont val="Times New Roman"/>
        <family val="1"/>
        <charset val="204"/>
      </rPr>
      <t xml:space="preserve"> год и на плановый период 2022  и 2023 годов</t>
    </r>
  </si>
  <si>
    <r>
      <t>Код видов расходов _____</t>
    </r>
    <r>
      <rPr>
        <u/>
        <sz val="12"/>
        <color theme="1"/>
        <rFont val="Times New Roman"/>
        <family val="1"/>
        <charset val="204"/>
      </rPr>
      <t>244</t>
    </r>
    <r>
      <rPr>
        <sz val="12"/>
        <color theme="1"/>
        <rFont val="Times New Roman"/>
        <family val="1"/>
        <charset val="204"/>
      </rPr>
      <t>___________________</t>
    </r>
  </si>
  <si>
    <t xml:space="preserve">6.3. Обоснование (расчет) расходов на оплату коммунальных услуг </t>
  </si>
  <si>
    <t xml:space="preserve">7.1. Обоснование (расчет) расходов на оплату коммунальных услуг </t>
  </si>
  <si>
    <t>КФСР</t>
  </si>
  <si>
    <t>0701</t>
  </si>
  <si>
    <t>КЦСР</t>
  </si>
  <si>
    <t>071022Н020</t>
  </si>
  <si>
    <t>0703</t>
  </si>
  <si>
    <t>0730100590</t>
  </si>
  <si>
    <t>1003</t>
  </si>
  <si>
    <t>00.0.00.00000.3.000000</t>
  </si>
  <si>
    <t>0710100590</t>
  </si>
  <si>
    <t>901220000</t>
  </si>
  <si>
    <t>0830223470</t>
  </si>
  <si>
    <t>закупка товаров, работ, услуг в целях капитального ремонта государственного (муниципального) имущества</t>
  </si>
  <si>
    <t>0710100610</t>
  </si>
  <si>
    <t>0830201070</t>
  </si>
  <si>
    <r>
      <t>00.0.00.00000.3</t>
    </r>
    <r>
      <rPr>
        <sz val="10"/>
        <color theme="1"/>
        <rFont val="Times New Roman"/>
        <family val="1"/>
        <charset val="204"/>
      </rPr>
      <t>.000000</t>
    </r>
  </si>
  <si>
    <t>901900000</t>
  </si>
  <si>
    <t>1004</t>
  </si>
  <si>
    <t>083032Н420</t>
  </si>
  <si>
    <t>901010018</t>
  </si>
  <si>
    <t>083022Н420</t>
  </si>
  <si>
    <t>07101005900</t>
  </si>
  <si>
    <t>зп доу основной персонал</t>
  </si>
  <si>
    <t>страх. ДОУ основ. Персонал</t>
  </si>
  <si>
    <t>Общая сумма арендной платы в год, руб. (гр. 8+ гр. 13 + гр.18 + гр.21)</t>
  </si>
  <si>
    <t>Сумма арендной платы в год, руб.(гр.5 х гр. 6 х гр.7)</t>
  </si>
  <si>
    <t>Сумма арендной платы в год, руб.  (гр.10 х гр.11 х гр.12)</t>
  </si>
  <si>
    <t>Сумма арендной платы в год, руб.  (гр.14 х гр. 16)</t>
  </si>
  <si>
    <t>Сумма арендной платы в год, руб.  (гр.18 х гр. 20)</t>
  </si>
  <si>
    <t>Размер арендной платы по договору за 1 кв.м в месяц, руб.</t>
  </si>
  <si>
    <t>Размер арендной платы за 1 кв.м в месяц с учетом индексации, руб.</t>
  </si>
  <si>
    <t>Размер арендной платы по договору за 1 час, руб.</t>
  </si>
  <si>
    <t>Размер арендной платы за 1 час с учетом индексации, руб.</t>
  </si>
  <si>
    <t>Доход от аренды в месяц по договору, руб.</t>
  </si>
  <si>
    <t>Доход от аренды в месяц с учетом индексации, руб.</t>
  </si>
  <si>
    <t>071022H020</t>
  </si>
  <si>
    <t>*</t>
  </si>
  <si>
    <t>Гарипова Р.З.</t>
  </si>
  <si>
    <r>
      <t>00.0.00.00000.3</t>
    </r>
    <r>
      <rPr>
        <sz val="10"/>
        <color rgb="FF00B050"/>
        <rFont val="Times New Roman"/>
        <family val="1"/>
        <charset val="204"/>
      </rPr>
      <t>.</t>
    </r>
    <r>
      <rPr>
        <sz val="10"/>
        <color theme="1"/>
        <rFont val="Times New Roman"/>
        <family val="1"/>
        <charset val="204"/>
      </rPr>
      <t>000000</t>
    </r>
  </si>
  <si>
    <r>
      <t>00.0.00.00000.3.</t>
    </r>
    <r>
      <rPr>
        <sz val="10"/>
        <rFont val="Times New Roman"/>
        <family val="1"/>
        <charset val="204"/>
      </rPr>
      <t>000000</t>
    </r>
  </si>
  <si>
    <t>оплата тепловой энергии</t>
  </si>
  <si>
    <r>
      <t>00.0.00.00000.3</t>
    </r>
    <r>
      <rPr>
        <sz val="10"/>
        <rFont val="Times New Roman"/>
        <family val="1"/>
        <charset val="204"/>
      </rPr>
      <t>000000</t>
    </r>
  </si>
  <si>
    <t>оплата потребления газа</t>
  </si>
  <si>
    <t>оплата электрической энергии</t>
  </si>
  <si>
    <t xml:space="preserve">(уполномоченное лицо учреждения)   </t>
  </si>
  <si>
    <t>заведущий</t>
  </si>
  <si>
    <t xml:space="preserve">Исполнитель </t>
  </si>
  <si>
    <t>экономист</t>
  </si>
  <si>
    <t>Мерзлякова А.Г.</t>
  </si>
  <si>
    <t>206-08-67</t>
  </si>
  <si>
    <t xml:space="preserve">                                                                                                                  (должность)                         (подпись)                 (расшифровка подписи)</t>
  </si>
  <si>
    <t xml:space="preserve">                                                                                                                (должность)                (фамилия, инициалы)                      (телефон)</t>
  </si>
  <si>
    <t>г.Пермь, ул.Старцева, д.23</t>
  </si>
  <si>
    <t>№ 2/419 от 01.09.2019</t>
  </si>
  <si>
    <t xml:space="preserve">Реализация основных общеобразовательных программ дошкольного образования </t>
  </si>
  <si>
    <t>обучающиеся за исключением детей-инвалидов, до 3 лет, очная, группа полного дня</t>
  </si>
  <si>
    <t>обучающиеся за исключением детей-инвалидов, до 3 лет, очная, группа кратковременного пребывания детей</t>
  </si>
  <si>
    <t>Реализация основных общеобразовательных программ начального общего образования</t>
  </si>
  <si>
    <t>обучающиеся за исключением обучающихся с ограниченными возможностями здоровья (ОВЗ) и детей-инвалидов, до 3 лет, очная, группа кратковременного пребывания детей</t>
  </si>
  <si>
    <t xml:space="preserve"> Присмотр и уход</t>
  </si>
  <si>
    <t>Присмотр и уход льготные категории</t>
  </si>
  <si>
    <t>3.1</t>
  </si>
  <si>
    <t>3.2</t>
  </si>
  <si>
    <t>3.3</t>
  </si>
  <si>
    <t>3.4</t>
  </si>
  <si>
    <t>3.5</t>
  </si>
  <si>
    <t xml:space="preserve">к плану финансово-хозяйственной деятельности на 2021 год </t>
  </si>
  <si>
    <t xml:space="preserve">Расходы </t>
  </si>
  <si>
    <t>Доходы</t>
  </si>
  <si>
    <t>23 статья - ежемесячные выплаты</t>
  </si>
  <si>
    <t>Компенсация части родительской платы</t>
  </si>
  <si>
    <t>Компенсация части затрат родителям (законным представителям) по воспитанию и обучению на дому детей-инвалидов дошкольного возраста</t>
  </si>
  <si>
    <t>Обеспечение малоимущих семей, имеющих детей в возрасте от 3 до 7 лет, наборами продуктов питания</t>
  </si>
  <si>
    <t xml:space="preserve">1.3.  Расчеты (обоснования) выплат персоналу </t>
  </si>
  <si>
    <t>Пособие по уходу за ребенком до 3- х лет</t>
  </si>
  <si>
    <t>Пособие по б-листу 3 дня</t>
  </si>
  <si>
    <t>Услуги связи</t>
  </si>
  <si>
    <t>Услуги интернет</t>
  </si>
  <si>
    <t>тепловая энергия</t>
  </si>
  <si>
    <t>поставка энергитической энергии</t>
  </si>
  <si>
    <t>расходы по водоснабжению и водоотведению</t>
  </si>
  <si>
    <t>Дератизация и дезинсекция</t>
  </si>
  <si>
    <t>Текущий ремонт</t>
  </si>
  <si>
    <t>услуги прачечной</t>
  </si>
  <si>
    <t>обслуживание видеонаблюдения</t>
  </si>
  <si>
    <t>тех.обслуживание -пожарной сигнализации</t>
  </si>
  <si>
    <t>Заправка картриджей</t>
  </si>
  <si>
    <t>КПК</t>
  </si>
  <si>
    <t>Приобретение оборудования</t>
  </si>
  <si>
    <t>Для развивающегося процесса</t>
  </si>
  <si>
    <t>Канц.товары</t>
  </si>
  <si>
    <t>Чистящие, моющие</t>
  </si>
  <si>
    <t>Мягкий инвентарь</t>
  </si>
  <si>
    <t>Канц.товары для детей</t>
  </si>
  <si>
    <t>Продукты питания</t>
  </si>
  <si>
    <t>Хоз.товары</t>
  </si>
  <si>
    <t>Стройматериалы</t>
  </si>
  <si>
    <t>вывоз мусора</t>
  </si>
  <si>
    <t>Обслуживание узлов теплового пункта</t>
  </si>
  <si>
    <t>Уборка территории</t>
  </si>
  <si>
    <t>опрессовка и промывка</t>
  </si>
  <si>
    <t>тех.мониторинг станции</t>
  </si>
  <si>
    <t>Продление ЭЦП</t>
  </si>
  <si>
    <t>Опубликование отчета в типографии</t>
  </si>
  <si>
    <t>Обслуживание сайта</t>
  </si>
  <si>
    <t>Мед.осмотр</t>
  </si>
  <si>
    <t>Услуги физической охраны</t>
  </si>
  <si>
    <t>Питание детей</t>
  </si>
  <si>
    <t>Больничный лист</t>
  </si>
  <si>
    <t>Питание (компенсация части родительской платы)</t>
  </si>
  <si>
    <t>Должность, группа должностей (в соответсвии со штатным расписанием)</t>
  </si>
  <si>
    <t>Установленная численность, шт.ед.</t>
  </si>
  <si>
    <t>по выплатам стимулирующего характера, в том числе иные выплаты</t>
  </si>
  <si>
    <t>1.3. Обоснования (расчеты) выплат персоналу</t>
  </si>
  <si>
    <t>услуги связи (межгород)</t>
  </si>
  <si>
    <t>транспортные услуги</t>
  </si>
  <si>
    <t>водоснабжению и водоотведению</t>
  </si>
  <si>
    <t>поставка электрической энергии</t>
  </si>
  <si>
    <t>дератизация и дезинсекция</t>
  </si>
  <si>
    <t>договора ГПХ</t>
  </si>
  <si>
    <t>питание аутсорсинг</t>
  </si>
  <si>
    <t>курсы переподготовки</t>
  </si>
  <si>
    <t>размещение материалов</t>
  </si>
  <si>
    <t>Мебель (шкафы, столы, кровати)</t>
  </si>
  <si>
    <t>продукты питания</t>
  </si>
  <si>
    <t>канц. товары</t>
  </si>
  <si>
    <t>хоз. товары</t>
  </si>
  <si>
    <t>строительные материалы</t>
  </si>
  <si>
    <t>6.9. Расчет (обоснование) расходов на страхование имущества &lt;12&gt;</t>
  </si>
  <si>
    <t>Страхование здания</t>
  </si>
  <si>
    <t>водоснабжение и водотведение</t>
  </si>
  <si>
    <t>теплоэнергия</t>
  </si>
  <si>
    <t>электроэнергия</t>
  </si>
  <si>
    <t>вывоз ТБО</t>
  </si>
  <si>
    <t>дезинсекция и дератизация</t>
  </si>
  <si>
    <t>уборка территории</t>
  </si>
  <si>
    <t>УСН</t>
  </si>
  <si>
    <t>информдетки</t>
  </si>
  <si>
    <t>азбуковедение</t>
  </si>
  <si>
    <t>развивающие игры</t>
  </si>
  <si>
    <t>хореография</t>
  </si>
  <si>
    <t>тестопластика</t>
  </si>
  <si>
    <t>бассейн</t>
  </si>
  <si>
    <t>робототехника</t>
  </si>
  <si>
    <t>фитнес для детей</t>
  </si>
  <si>
    <t>скололазание</t>
  </si>
  <si>
    <t>лего для малышей</t>
  </si>
  <si>
    <t>логоритмика</t>
  </si>
  <si>
    <t>шахматы</t>
  </si>
  <si>
    <t>тропинка к своему я</t>
  </si>
  <si>
    <t>успешный ребенок</t>
  </si>
  <si>
    <t>английский язык</t>
  </si>
  <si>
    <t>веселые краски</t>
  </si>
  <si>
    <t>черлидинг</t>
  </si>
  <si>
    <t>лего</t>
  </si>
  <si>
    <t>рукодельница</t>
  </si>
  <si>
    <t>учимся говорить</t>
  </si>
  <si>
    <t>веселый язычок</t>
  </si>
  <si>
    <t>руководитель</t>
  </si>
  <si>
    <t>(наименование должности уполномоченного лица)</t>
  </si>
  <si>
    <t>Департамент образования администрации города Перми</t>
  </si>
  <si>
    <t>(наименование органа-учредителя)</t>
  </si>
  <si>
    <t xml:space="preserve"> </t>
  </si>
  <si>
    <t xml:space="preserve">(подпись) </t>
  </si>
  <si>
    <t>(расшифровка подписи)</t>
  </si>
  <si>
    <t>ПЛАН</t>
  </si>
  <si>
    <t>финансово-хозяйственной деятельности на 2021 год</t>
  </si>
  <si>
    <t>и на плановый период 2022 и 2023 годов</t>
  </si>
  <si>
    <t>Дата</t>
  </si>
  <si>
    <t>по Сводному реестру</t>
  </si>
  <si>
    <t>глава по БК</t>
  </si>
  <si>
    <r>
      <t xml:space="preserve">Орган, осуществляющий функции и полномочия учредителя: </t>
    </r>
    <r>
      <rPr>
        <u/>
        <sz val="11"/>
        <color indexed="8"/>
        <rFont val="Times New Roman"/>
        <family val="1"/>
        <charset val="204"/>
      </rPr>
      <t>Департамент образования администрации города Перми</t>
    </r>
  </si>
  <si>
    <r>
      <t>Учреждение: м</t>
    </r>
    <r>
      <rPr>
        <u/>
        <sz val="11"/>
        <color indexed="8"/>
        <rFont val="Times New Roman"/>
        <family val="1"/>
        <charset val="204"/>
      </rPr>
      <t>униципальное автономное дошкольное образовательное учреждение "Детский сад № 419" г.Перми</t>
    </r>
  </si>
  <si>
    <t>Р.З. Гарипова</t>
  </si>
  <si>
    <t>0000000000</t>
  </si>
  <si>
    <t>0000</t>
  </si>
  <si>
    <t>000</t>
  </si>
  <si>
    <t>выплата детям-инвалидам</t>
  </si>
  <si>
    <t>Родительская плата</t>
  </si>
  <si>
    <t>Аренда</t>
  </si>
  <si>
    <t>Кредиторская задолженность 2020г</t>
  </si>
  <si>
    <t>Платные образовательные услуги</t>
  </si>
  <si>
    <t>Возмещение коммунальных услуг</t>
  </si>
  <si>
    <t>обучающиеся за исключением детей-инвалидов, от 3 лет до 8 лет, очная,группа полного дня</t>
  </si>
  <si>
    <t>адаптированная образовательная программа, обучающиеся за исключением детей-инвалидов, от 3 лет до 8 лет, очная, группа полного дня</t>
  </si>
  <si>
    <t>Фонд оплаты труда доведение в 2020 году</t>
  </si>
  <si>
    <t>обучающиеся за исключением обучающихся с ограниченными возможностями здоровья (ОВЗ) и детей-инвалидов, до 3 лет, очная, группа полного дня</t>
  </si>
  <si>
    <t>обучающиеся за исключением обучающихся с ограниченными возможностями здоровья (ОВЗ) и детей-инвалидов, от 3 лет до 8 лет, очная, группа полного дня</t>
  </si>
  <si>
    <t>адаптированная образовательная программа, обучающиеся  с ограниченными возможностями здоровья (ОВЗ), от 3 лет до 8 лет, очная, группа полного дня</t>
  </si>
  <si>
    <t>физические лица за исключением льготных категорий, до 3 лет, группа полного дня</t>
  </si>
  <si>
    <t>физические лица за исключением льготных категорий, от 3 лет до 8 лет, группа полного дня</t>
  </si>
  <si>
    <t>физические лица за исключением льготных категорий, до 3 лет, группа кратковременного пребывания детей</t>
  </si>
  <si>
    <t>физические лица льготных категорий, определяемых учредителем, до 3 лет, группа полного дня</t>
  </si>
  <si>
    <t>физические лица льготных категорий, определяемых учредителем, от 3 лет до 8 лет, группа полного дня</t>
  </si>
  <si>
    <t>дети-инвалиды, от 3 лет до 8 лет, группа полного дня</t>
  </si>
  <si>
    <t>дети-сироты и дети, оставшиеся без попечения родителей, от 3 лет до 8 лет, группа полного дня</t>
  </si>
  <si>
    <t>Пособие по б-листу 3 дня за счёт работодателя</t>
  </si>
  <si>
    <t>вывоз КГО</t>
  </si>
  <si>
    <t>лабораторные исследования</t>
  </si>
  <si>
    <t>текущий ремонт</t>
  </si>
  <si>
    <t>нотар. услуги</t>
  </si>
  <si>
    <t>охрана</t>
  </si>
  <si>
    <t>ок</t>
  </si>
  <si>
    <t>Фонд оплаты труда, руб.
(гр. 3 x гр. 4 x (1 + гр. 8 / 100) x гр. 9 x 12)</t>
  </si>
  <si>
    <t>Кредиторская задолженность на 01.01.2021 г. (авансовый отчёт)</t>
  </si>
  <si>
    <t>Х</t>
  </si>
  <si>
    <t>Кредиторская задолженность на 01.01.2021 г. (продукты питания ООО "Соцпродукт")</t>
  </si>
  <si>
    <t>Возмищение коммунальных услуг</t>
  </si>
  <si>
    <t>Кредиторская задолженность на 01.01.2021 г. (ПАО "Ростелеком", договор от 01.01.2020 № 6994)</t>
  </si>
  <si>
    <t>Кредиторская задолженность на 01.01.2021 г. (ПКГУП "Теплоэнерго", договор от 01.01.2019 № Ю-535)</t>
  </si>
  <si>
    <t>Кредиторская задолженность на 01.01.2021 г. (ООО "Проминтех", договор от 01.02.2020 № ДС/2020/010, договор от 01.06.2020 № ДС/2020/108, договор от 01.07.2020 № б/н)</t>
  </si>
  <si>
    <t>Кредиторская задолженность на 01.01.2021 г. (ООО "Аргентум", договор от 26.12.2019 № 003)</t>
  </si>
  <si>
    <t>Кредиторская задолженность на 01.01.2021 г. (ИП Крючкова Т.С.,  договор от 09.10.2019 № 1)</t>
  </si>
  <si>
    <t>Кредиторская задолженность на 01.01.2021 г. (ИП Якимова Е.В., договор от 01.04.2020 № 1/2020 Дв)</t>
  </si>
  <si>
    <t>Кредиторская задолженность на 01.01.2021 г. (ООО "Дезцентр Пермь",  договор от 09.01.2020 № 21м)</t>
  </si>
  <si>
    <t>Кредиторская задолженность на 01.01.2021 г. (ООО "АЯКС", договор от 24.06.2019 № б/н)</t>
  </si>
  <si>
    <t>Кредиторская задолженность на 01.01.2021 г. (ООО "ЦПМ", договор от 01.01.2020 № 18/П-ЛАМ-ТМО-406/20)</t>
  </si>
  <si>
    <t>Кредиторская задолженность на 01.01.2021 г. (ООО "МЭО", договор от 29.10.2020 № КД-29-10-2020-04)</t>
  </si>
  <si>
    <t>Кредиторская задолженность на 01.01.2021 г. (ООО "СИТИЛИНК", договор от 05.12.2019 № G0433269)</t>
  </si>
  <si>
    <t>Кредиторская задолженность на 01.01.2021 г. (ИП Колчанов М.П., договор 1/19-М от 09.01.2019)</t>
  </si>
  <si>
    <t>Кредиторская задолженность на 01.01.2021 г. (АО "Покровский хлеб", договор 1/19-Х от 09.01.2019)</t>
  </si>
  <si>
    <t xml:space="preserve">от «31» марта 2021 г.     </t>
  </si>
  <si>
    <t>31.03.2021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</si>
</sst>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00&quot;р.&quot;_-;\-* #,##0.00&quot;р.&quot;_-;_-* &quot;-&quot;??&quot;р.&quot;_-;_-@_-"/>
    <numFmt numFmtId="166" formatCode="_-* #,##0.00_р_._-;\-* #,##0.00_р_._-;_-* &quot;-&quot;??_р_._-;_-@_-"/>
    <numFmt numFmtId="167" formatCode="#,##0.00_ ;\-#,##0.00\ "/>
  </numFmts>
  <fonts count="5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Times New Roman"/>
      <family val="1"/>
      <charset val="204"/>
    </font>
    <font>
      <sz val="14"/>
      <color theme="1"/>
      <name val="Times New Roman"/>
      <family val="1"/>
      <charset val="204"/>
    </font>
    <font>
      <sz val="9"/>
      <color theme="1"/>
      <name val="Times New Roman"/>
      <family val="1"/>
      <charset val="204"/>
    </font>
    <font>
      <sz val="10"/>
      <color theme="1"/>
      <name val="Calibri"/>
      <family val="2"/>
      <scheme val="minor"/>
    </font>
    <font>
      <sz val="11"/>
      <color theme="1"/>
      <name val="Times New Roman"/>
      <family val="1"/>
      <charset val="204"/>
    </font>
    <font>
      <sz val="12"/>
      <color theme="1"/>
      <name val="Times New Roman"/>
      <family val="1"/>
      <charset val="204"/>
    </font>
    <font>
      <b/>
      <sz val="12"/>
      <color theme="1"/>
      <name val="Times New Roman"/>
      <family val="1"/>
      <charset val="204"/>
    </font>
    <font>
      <u/>
      <sz val="10"/>
      <color theme="1"/>
      <name val="Times New Roman"/>
      <family val="1"/>
      <charset val="204"/>
    </font>
    <font>
      <b/>
      <sz val="14"/>
      <color theme="1"/>
      <name val="Times New Roman"/>
      <family val="1"/>
      <charset val="204"/>
    </font>
    <font>
      <sz val="12"/>
      <color indexed="8"/>
      <name val="Times New Roman"/>
      <family val="1"/>
      <charset val="204"/>
    </font>
    <font>
      <sz val="11"/>
      <color indexed="8"/>
      <name val="Times New Roman"/>
      <family val="1"/>
      <charset val="204"/>
    </font>
    <font>
      <b/>
      <sz val="10"/>
      <color theme="1"/>
      <name val="Times New Roman"/>
      <family val="1"/>
      <charset val="204"/>
    </font>
    <font>
      <b/>
      <sz val="11"/>
      <color theme="1"/>
      <name val="Calibri"/>
      <family val="2"/>
      <scheme val="minor"/>
    </font>
    <font>
      <sz val="8"/>
      <color theme="1"/>
      <name val="Calibri"/>
      <family val="2"/>
      <scheme val="minor"/>
    </font>
    <font>
      <b/>
      <sz val="8"/>
      <color theme="1"/>
      <name val="Calibri"/>
      <family val="2"/>
      <scheme val="minor"/>
    </font>
    <font>
      <sz val="8"/>
      <color theme="1"/>
      <name val="Times New Roman"/>
      <family val="1"/>
      <charset val="204"/>
    </font>
    <font>
      <u/>
      <sz val="11"/>
      <color theme="10"/>
      <name val="Calibri"/>
      <family val="2"/>
      <scheme val="minor"/>
    </font>
    <font>
      <sz val="12"/>
      <name val="Times New Roman"/>
      <family val="1"/>
      <charset val="204"/>
    </font>
    <font>
      <u/>
      <sz val="12"/>
      <color theme="10"/>
      <name val="Calibri"/>
      <family val="2"/>
      <scheme val="minor"/>
    </font>
    <font>
      <b/>
      <sz val="11"/>
      <color theme="1"/>
      <name val="Times New Roman"/>
      <family val="1"/>
      <charset val="204"/>
    </font>
    <font>
      <b/>
      <u/>
      <sz val="11"/>
      <color theme="1"/>
      <name val="Times New Roman"/>
      <family val="1"/>
      <charset val="204"/>
    </font>
    <font>
      <vertAlign val="superscript"/>
      <sz val="11"/>
      <color theme="1"/>
      <name val="Times New Roman"/>
      <family val="1"/>
      <charset val="204"/>
    </font>
    <font>
      <u/>
      <sz val="12"/>
      <color theme="1"/>
      <name val="Times New Roman"/>
      <family val="1"/>
      <charset val="204"/>
    </font>
    <font>
      <b/>
      <vertAlign val="superscript"/>
      <sz val="12"/>
      <color theme="1"/>
      <name val="Times New Roman"/>
      <family val="1"/>
      <charset val="204"/>
    </font>
    <font>
      <sz val="12"/>
      <color theme="1"/>
      <name val="Calibri"/>
      <family val="2"/>
      <scheme val="minor"/>
    </font>
    <font>
      <sz val="11"/>
      <color theme="1"/>
      <name val="Calibri"/>
      <family val="2"/>
      <charset val="204"/>
      <scheme val="minor"/>
    </font>
    <font>
      <b/>
      <u/>
      <sz val="12"/>
      <color theme="1"/>
      <name val="Times New Roman"/>
      <family val="1"/>
      <charset val="204"/>
    </font>
    <font>
      <sz val="12"/>
      <color rgb="FF000000"/>
      <name val="Times New Roman"/>
      <family val="1"/>
      <charset val="204"/>
    </font>
    <font>
      <sz val="10"/>
      <color rgb="FF000000"/>
      <name val="Times New Roman"/>
      <family val="1"/>
      <charset val="204"/>
    </font>
    <font>
      <sz val="11.5"/>
      <color rgb="FF222222"/>
      <name val="Arial"/>
      <family val="2"/>
      <charset val="204"/>
    </font>
    <font>
      <sz val="12"/>
      <color theme="1"/>
      <name val="Symbol"/>
      <family val="1"/>
      <charset val="2"/>
    </font>
    <font>
      <sz val="7"/>
      <color theme="1"/>
      <name val="Times New Roman"/>
      <family val="1"/>
      <charset val="204"/>
    </font>
    <font>
      <sz val="9"/>
      <color rgb="FF000000"/>
      <name val="Times New Roman"/>
      <family val="1"/>
      <charset val="204"/>
    </font>
    <font>
      <sz val="10"/>
      <name val="Times New Roman"/>
      <family val="1"/>
      <charset val="204"/>
    </font>
    <font>
      <vertAlign val="superscript"/>
      <sz val="9"/>
      <color theme="1"/>
      <name val="Times New Roman"/>
      <family val="1"/>
      <charset val="204"/>
    </font>
    <font>
      <u/>
      <sz val="9"/>
      <color theme="10"/>
      <name val="Calibri"/>
      <family val="2"/>
      <scheme val="minor"/>
    </font>
    <font>
      <sz val="11"/>
      <color theme="1"/>
      <name val="Calibri"/>
      <family val="2"/>
      <scheme val="minor"/>
    </font>
    <font>
      <b/>
      <sz val="11"/>
      <color theme="1"/>
      <name val="Calibri"/>
      <family val="2"/>
      <charset val="204"/>
      <scheme val="minor"/>
    </font>
    <font>
      <sz val="10"/>
      <name val="Arial Cyr"/>
      <charset val="204"/>
    </font>
    <font>
      <b/>
      <sz val="12"/>
      <name val="Times New Roman"/>
      <family val="1"/>
      <charset val="204"/>
    </font>
    <font>
      <sz val="12"/>
      <color theme="1"/>
      <name val="Calibri"/>
      <family val="2"/>
      <charset val="204"/>
      <scheme val="minor"/>
    </font>
    <font>
      <b/>
      <sz val="12"/>
      <color theme="1"/>
      <name val="Calibri"/>
      <family val="2"/>
      <charset val="204"/>
      <scheme val="minor"/>
    </font>
    <font>
      <b/>
      <sz val="14"/>
      <name val="Times New Roman"/>
      <family val="1"/>
      <charset val="204"/>
    </font>
    <font>
      <b/>
      <sz val="11"/>
      <name val="Times New Roman"/>
      <family val="1"/>
      <charset val="204"/>
    </font>
    <font>
      <sz val="11"/>
      <name val="Times New Roman"/>
      <family val="1"/>
      <charset val="204"/>
    </font>
    <font>
      <sz val="14"/>
      <name val="Times New Roman"/>
      <family val="1"/>
      <charset val="204"/>
    </font>
    <font>
      <sz val="10"/>
      <name val="Arial"/>
      <family val="2"/>
      <charset val="204"/>
    </font>
    <font>
      <sz val="11"/>
      <color indexed="8"/>
      <name val="Calibri"/>
      <family val="2"/>
      <charset val="204"/>
    </font>
    <font>
      <sz val="9"/>
      <name val="Times New Roman"/>
      <family val="1"/>
      <charset val="204"/>
    </font>
    <font>
      <sz val="10"/>
      <color rgb="FF00B050"/>
      <name val="Times New Roman"/>
      <family val="1"/>
      <charset val="204"/>
    </font>
    <font>
      <sz val="18"/>
      <color theme="1"/>
      <name val="Calibri"/>
      <family val="2"/>
      <scheme val="minor"/>
    </font>
    <font>
      <sz val="11"/>
      <color rgb="FF000000"/>
      <name val="Calibri"/>
      <family val="2"/>
      <charset val="204"/>
    </font>
    <font>
      <b/>
      <sz val="12"/>
      <color theme="0"/>
      <name val="Times New Roman"/>
      <family val="1"/>
      <charset val="204"/>
    </font>
    <font>
      <u/>
      <sz val="11"/>
      <color indexed="8"/>
      <name val="Times New Roman"/>
      <family val="1"/>
      <charset val="204"/>
    </font>
    <font>
      <sz val="8"/>
      <color rgb="FFFF0000"/>
      <name val="Calibri"/>
      <family val="2"/>
      <scheme val="minor"/>
    </font>
    <font>
      <sz val="11"/>
      <color rgb="FF00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9">
    <xf numFmtId="0" fontId="0" fillId="0" borderId="0"/>
    <xf numFmtId="0" fontId="19" fillId="0" borderId="0" applyNumberFormat="0" applyFill="0" applyBorder="0" applyAlignment="0" applyProtection="0"/>
    <xf numFmtId="0" fontId="2" fillId="0" borderId="0"/>
    <xf numFmtId="0" fontId="41" fillId="0" borderId="0"/>
    <xf numFmtId="0" fontId="2" fillId="0" borderId="0"/>
    <xf numFmtId="9" fontId="41" fillId="0" borderId="0" applyFont="0" applyFill="0" applyBorder="0" applyAlignment="0" applyProtection="0"/>
    <xf numFmtId="165" fontId="41" fillId="0" borderId="0" applyFont="0" applyFill="0" applyBorder="0" applyAlignment="0" applyProtection="0"/>
    <xf numFmtId="0" fontId="39" fillId="0" borderId="0"/>
    <xf numFmtId="0" fontId="49" fillId="0" borderId="0"/>
    <xf numFmtId="9" fontId="39" fillId="0" borderId="0" applyFont="0" applyFill="0" applyBorder="0" applyAlignment="0" applyProtection="0"/>
    <xf numFmtId="166" fontId="2" fillId="0" borderId="0" applyFont="0" applyFill="0" applyBorder="0" applyAlignment="0" applyProtection="0"/>
    <xf numFmtId="166" fontId="50" fillId="0" borderId="0" applyFont="0" applyFill="0" applyBorder="0" applyAlignment="0" applyProtection="0"/>
    <xf numFmtId="166" fontId="41" fillId="0" borderId="0" applyFont="0" applyFill="0" applyBorder="0" applyAlignment="0" applyProtection="0"/>
    <xf numFmtId="166" fontId="39" fillId="0" borderId="0" applyFont="0" applyFill="0" applyBorder="0" applyAlignment="0" applyProtection="0"/>
    <xf numFmtId="0" fontId="1" fillId="0" borderId="0"/>
    <xf numFmtId="0" fontId="1" fillId="0" borderId="0"/>
    <xf numFmtId="0" fontId="54" fillId="0" borderId="0"/>
    <xf numFmtId="0" fontId="1" fillId="0" borderId="0"/>
    <xf numFmtId="0" fontId="1" fillId="0" borderId="0"/>
  </cellStyleXfs>
  <cellXfs count="777">
    <xf numFmtId="0" fontId="0" fillId="0" borderId="0" xfId="0"/>
    <xf numFmtId="0" fontId="3" fillId="0" borderId="0" xfId="0" applyFont="1" applyAlignment="1">
      <alignment vertical="center"/>
    </xf>
    <xf numFmtId="0" fontId="4" fillId="0" borderId="0" xfId="0" applyFont="1" applyAlignment="1">
      <alignment vertical="center"/>
    </xf>
    <xf numFmtId="0" fontId="7" fillId="0" borderId="0" xfId="0" applyFont="1"/>
    <xf numFmtId="0" fontId="7" fillId="0" borderId="0" xfId="0" applyFont="1" applyAlignment="1"/>
    <xf numFmtId="0" fontId="5" fillId="0" borderId="0" xfId="0" applyFont="1" applyAlignment="1">
      <alignment vertical="center"/>
    </xf>
    <xf numFmtId="0" fontId="5" fillId="0" borderId="0" xfId="0" applyFont="1"/>
    <xf numFmtId="0" fontId="0" fillId="0" borderId="0" xfId="0" applyFill="1"/>
    <xf numFmtId="0" fontId="0" fillId="0" borderId="0" xfId="0" applyFill="1" applyAlignment="1"/>
    <xf numFmtId="0" fontId="12" fillId="0" borderId="0" xfId="0" applyFont="1" applyFill="1" applyAlignment="1"/>
    <xf numFmtId="0" fontId="13" fillId="0" borderId="0" xfId="0" applyFont="1" applyFill="1" applyAlignment="1"/>
    <xf numFmtId="4"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indent="4"/>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left" vertical="center" indent="15"/>
    </xf>
    <xf numFmtId="0" fontId="4"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indent="2"/>
    </xf>
    <xf numFmtId="0" fontId="8" fillId="0" borderId="1" xfId="0" applyFont="1" applyBorder="1" applyAlignment="1">
      <alignment horizontal="left" vertical="center" wrapText="1" indent="4"/>
    </xf>
    <xf numFmtId="0" fontId="21" fillId="0" borderId="1" xfId="1" applyFont="1" applyBorder="1" applyAlignment="1">
      <alignment horizontal="left" vertical="center" wrapText="1" indent="4"/>
    </xf>
    <xf numFmtId="0" fontId="21" fillId="0" borderId="1" xfId="1" applyFont="1" applyBorder="1" applyAlignment="1">
      <alignment horizontal="left" vertical="center" wrapText="1" indent="2"/>
    </xf>
    <xf numFmtId="0" fontId="21" fillId="0" borderId="1" xfId="1" applyFont="1" applyBorder="1" applyAlignment="1">
      <alignment vertical="center" wrapText="1"/>
    </xf>
    <xf numFmtId="4" fontId="7"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0" xfId="0" applyFont="1" applyAlignment="1">
      <alignment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0" fillId="0" borderId="0" xfId="0" applyFont="1"/>
    <xf numFmtId="49" fontId="7" fillId="0" borderId="1" xfId="0" applyNumberFormat="1" applyFont="1" applyBorder="1" applyAlignment="1">
      <alignment horizontal="center" vertical="center" wrapText="1"/>
    </xf>
    <xf numFmtId="0" fontId="7" fillId="0" borderId="0" xfId="0" applyFont="1" applyAlignment="1">
      <alignment horizontal="center" vertical="center"/>
    </xf>
    <xf numFmtId="0" fontId="8" fillId="0" borderId="0" xfId="0" applyFont="1"/>
    <xf numFmtId="0" fontId="27" fillId="0" borderId="0" xfId="0" applyFont="1"/>
    <xf numFmtId="0" fontId="27" fillId="0" borderId="0" xfId="0" applyFont="1" applyAlignment="1">
      <alignment horizontal="left"/>
    </xf>
    <xf numFmtId="0" fontId="8" fillId="0" borderId="0" xfId="0" applyFont="1" applyAlignment="1">
      <alignment horizontal="left"/>
    </xf>
    <xf numFmtId="0" fontId="27" fillId="0" borderId="0" xfId="0" applyFont="1" applyAlignment="1"/>
    <xf numFmtId="0" fontId="8" fillId="0" borderId="0" xfId="0" applyFont="1" applyAlignment="1"/>
    <xf numFmtId="4" fontId="7" fillId="0" borderId="1" xfId="0" applyNumberFormat="1"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4" fontId="7" fillId="0" borderId="0" xfId="0" applyNumberFormat="1" applyFont="1" applyAlignment="1">
      <alignment horizontal="left" vertical="center" wrapText="1"/>
    </xf>
    <xf numFmtId="0" fontId="8" fillId="0" borderId="0" xfId="0" applyFont="1" applyAlignment="1">
      <alignment horizontal="right" vertical="center"/>
    </xf>
    <xf numFmtId="0" fontId="8" fillId="0" borderId="0" xfId="0" applyFont="1" applyAlignment="1">
      <alignment vertical="center" wrapText="1"/>
    </xf>
    <xf numFmtId="0" fontId="28" fillId="0" borderId="0" xfId="0" applyFont="1" applyAlignment="1">
      <alignment vertical="center" wrapText="1"/>
    </xf>
    <xf numFmtId="0" fontId="8" fillId="0" borderId="0" xfId="0" applyFont="1" applyBorder="1" applyAlignment="1">
      <alignment vertical="center" wrapText="1"/>
    </xf>
    <xf numFmtId="0" fontId="30" fillId="0" borderId="1" xfId="0" applyFont="1" applyBorder="1" applyAlignment="1">
      <alignment horizontal="center" vertical="center" wrapText="1"/>
    </xf>
    <xf numFmtId="0" fontId="28" fillId="0" borderId="1" xfId="0" applyFont="1" applyBorder="1" applyAlignment="1">
      <alignment vertical="center" wrapText="1"/>
    </xf>
    <xf numFmtId="0" fontId="30" fillId="0" borderId="1" xfId="0" applyFont="1" applyBorder="1" applyAlignment="1">
      <alignment vertical="center" wrapText="1"/>
    </xf>
    <xf numFmtId="0" fontId="31"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0" xfId="0" applyFont="1" applyBorder="1" applyAlignment="1">
      <alignment vertical="center" wrapText="1"/>
    </xf>
    <xf numFmtId="0" fontId="28" fillId="0" borderId="0" xfId="0" applyFont="1" applyBorder="1" applyAlignment="1">
      <alignment vertical="center" wrapText="1"/>
    </xf>
    <xf numFmtId="0" fontId="3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8" fillId="0" borderId="2" xfId="0" applyFont="1" applyBorder="1" applyAlignment="1">
      <alignment vertical="center" wrapText="1"/>
    </xf>
    <xf numFmtId="3" fontId="3" fillId="0" borderId="1" xfId="0" applyNumberFormat="1" applyFont="1" applyBorder="1" applyAlignment="1">
      <alignment horizontal="center" vertical="center" wrapText="1"/>
    </xf>
    <xf numFmtId="3" fontId="36" fillId="0" borderId="1"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0" fontId="16" fillId="0" borderId="0" xfId="0" applyFont="1" applyFill="1" applyAlignment="1">
      <alignment vertical="center"/>
    </xf>
    <xf numFmtId="0" fontId="9" fillId="0" borderId="0" xfId="2" applyFont="1" applyAlignment="1">
      <alignment vertical="center" wrapText="1"/>
    </xf>
    <xf numFmtId="0" fontId="2" fillId="0" borderId="0" xfId="2"/>
    <xf numFmtId="0" fontId="8" fillId="0" borderId="11" xfId="2" applyFont="1" applyBorder="1" applyAlignment="1">
      <alignment vertical="center" wrapText="1"/>
    </xf>
    <xf numFmtId="0" fontId="8" fillId="0" borderId="0" xfId="2" applyFont="1" applyBorder="1" applyAlignment="1">
      <alignment vertical="center" wrapText="1"/>
    </xf>
    <xf numFmtId="0" fontId="8" fillId="0" borderId="0" xfId="2" applyFont="1" applyAlignment="1">
      <alignment vertical="center" wrapText="1"/>
    </xf>
    <xf numFmtId="0" fontId="8" fillId="0" borderId="0" xfId="2" applyFont="1" applyAlignment="1">
      <alignment horizontal="left" vertical="center" wrapText="1"/>
    </xf>
    <xf numFmtId="0" fontId="8" fillId="0" borderId="0" xfId="2" applyFont="1" applyBorder="1" applyAlignment="1">
      <alignment wrapText="1"/>
    </xf>
    <xf numFmtId="0" fontId="8" fillId="0" borderId="1" xfId="2" applyFont="1" applyBorder="1" applyAlignment="1">
      <alignment horizontal="center" vertical="center" wrapText="1"/>
    </xf>
    <xf numFmtId="0" fontId="8" fillId="0" borderId="0" xfId="2" applyFont="1" applyAlignment="1">
      <alignment horizontal="center" vertical="center" wrapText="1"/>
    </xf>
    <xf numFmtId="49" fontId="8" fillId="0" borderId="1" xfId="2" applyNumberFormat="1" applyFont="1" applyBorder="1" applyAlignment="1">
      <alignment horizontal="center" vertical="center"/>
    </xf>
    <xf numFmtId="0" fontId="8" fillId="0" borderId="1" xfId="2" applyFont="1" applyBorder="1" applyAlignment="1">
      <alignment horizontal="center" vertical="center"/>
    </xf>
    <xf numFmtId="4" fontId="8" fillId="0" borderId="1" xfId="2" applyNumberFormat="1" applyFont="1" applyBorder="1" applyAlignment="1">
      <alignment horizontal="center" vertical="center"/>
    </xf>
    <xf numFmtId="0" fontId="8" fillId="0" borderId="0" xfId="2" applyFont="1" applyAlignment="1">
      <alignment horizontal="center" vertical="center"/>
    </xf>
    <xf numFmtId="4" fontId="9" fillId="0" borderId="1" xfId="2" applyNumberFormat="1" applyFont="1" applyBorder="1" applyAlignment="1">
      <alignment horizontal="center" vertical="center"/>
    </xf>
    <xf numFmtId="0" fontId="9" fillId="0" borderId="0" xfId="2" applyFont="1" applyAlignment="1">
      <alignment horizontal="center" vertical="center"/>
    </xf>
    <xf numFmtId="0" fontId="42" fillId="0" borderId="0" xfId="3" applyFont="1"/>
    <xf numFmtId="0" fontId="20" fillId="0" borderId="0" xfId="3" applyFont="1" applyBorder="1" applyAlignment="1">
      <alignment horizontal="center"/>
    </xf>
    <xf numFmtId="0" fontId="20" fillId="0" borderId="0" xfId="3" applyFont="1"/>
    <xf numFmtId="0" fontId="20" fillId="0" borderId="0" xfId="3" applyFont="1" applyBorder="1"/>
    <xf numFmtId="0" fontId="20" fillId="0" borderId="0" xfId="3" applyFont="1" applyBorder="1" applyAlignment="1">
      <alignment horizontal="left"/>
    </xf>
    <xf numFmtId="0" fontId="20" fillId="0" borderId="1" xfId="3" applyFont="1" applyBorder="1" applyAlignment="1">
      <alignment horizontal="center" vertical="top"/>
    </xf>
    <xf numFmtId="0" fontId="20" fillId="0" borderId="1" xfId="3" applyFont="1" applyBorder="1" applyAlignment="1">
      <alignment horizontal="center" vertical="top" wrapText="1"/>
    </xf>
    <xf numFmtId="0" fontId="8" fillId="0" borderId="0" xfId="3" applyFont="1" applyFill="1" applyBorder="1" applyAlignment="1">
      <alignment horizontal="center"/>
    </xf>
    <xf numFmtId="0" fontId="20" fillId="0" borderId="1" xfId="3" applyFont="1" applyBorder="1" applyAlignment="1">
      <alignment horizontal="left" vertical="center"/>
    </xf>
    <xf numFmtId="4" fontId="20" fillId="0" borderId="1" xfId="3" applyNumberFormat="1" applyFont="1" applyBorder="1" applyAlignment="1">
      <alignment horizontal="center" vertical="center" wrapText="1"/>
    </xf>
    <xf numFmtId="0" fontId="8" fillId="0" borderId="0" xfId="3" applyFont="1" applyFill="1" applyBorder="1" applyAlignment="1">
      <alignment horizontal="center" vertical="center"/>
    </xf>
    <xf numFmtId="4" fontId="42" fillId="0" borderId="1" xfId="3" applyNumberFormat="1" applyFont="1" applyBorder="1" applyAlignment="1">
      <alignment horizontal="center" vertical="center"/>
    </xf>
    <xf numFmtId="0" fontId="20" fillId="0" borderId="0" xfId="3" applyFont="1" applyFill="1"/>
    <xf numFmtId="0" fontId="20" fillId="0" borderId="0" xfId="3" applyFont="1" applyFill="1" applyAlignment="1">
      <alignment horizontal="center"/>
    </xf>
    <xf numFmtId="0" fontId="8" fillId="0" borderId="0" xfId="3" applyFont="1" applyFill="1" applyBorder="1"/>
    <xf numFmtId="0" fontId="8" fillId="0" borderId="11" xfId="3" applyFont="1" applyFill="1" applyBorder="1"/>
    <xf numFmtId="0" fontId="8" fillId="0" borderId="0" xfId="3" applyFont="1" applyFill="1"/>
    <xf numFmtId="0" fontId="8" fillId="0" borderId="0" xfId="3" applyFont="1" applyFill="1" applyAlignment="1">
      <alignment horizontal="center"/>
    </xf>
    <xf numFmtId="0" fontId="43" fillId="0" borderId="0" xfId="2" applyFont="1"/>
    <xf numFmtId="0" fontId="8" fillId="0" borderId="11" xfId="2" applyFont="1" applyBorder="1" applyAlignment="1">
      <alignment horizontal="center" wrapText="1"/>
    </xf>
    <xf numFmtId="0" fontId="8" fillId="0" borderId="0" xfId="2" applyFont="1" applyBorder="1" applyAlignment="1">
      <alignment horizontal="center" wrapText="1"/>
    </xf>
    <xf numFmtId="0" fontId="43" fillId="0" borderId="0" xfId="2" applyFont="1" applyAlignment="1">
      <alignment horizontal="center" vertical="center" wrapText="1"/>
    </xf>
    <xf numFmtId="0" fontId="43" fillId="0" borderId="0" xfId="2" applyFont="1" applyAlignment="1">
      <alignment horizontal="center" vertical="center"/>
    </xf>
    <xf numFmtId="0" fontId="20" fillId="0" borderId="2" xfId="3" applyFont="1" applyBorder="1" applyAlignment="1">
      <alignment vertical="center"/>
    </xf>
    <xf numFmtId="0" fontId="8" fillId="0" borderId="11" xfId="3" applyFont="1" applyFill="1" applyBorder="1" applyAlignment="1">
      <alignment horizontal="center"/>
    </xf>
    <xf numFmtId="0" fontId="8" fillId="0" borderId="11" xfId="2" applyFont="1" applyBorder="1" applyAlignment="1">
      <alignment horizontal="right" vertical="center" wrapText="1"/>
    </xf>
    <xf numFmtId="0" fontId="44" fillId="0" borderId="0" xfId="2" applyFont="1" applyAlignment="1">
      <alignment horizontal="center" vertical="center"/>
    </xf>
    <xf numFmtId="0" fontId="20" fillId="0" borderId="1" xfId="3" applyFont="1" applyBorder="1" applyAlignment="1">
      <alignment horizontal="center" vertical="center"/>
    </xf>
    <xf numFmtId="0" fontId="20" fillId="0" borderId="2" xfId="3" applyFont="1" applyBorder="1" applyAlignment="1">
      <alignment horizontal="center" vertical="center"/>
    </xf>
    <xf numFmtId="0" fontId="20" fillId="0" borderId="0" xfId="3" applyFont="1" applyAlignment="1">
      <alignment horizontal="center" vertical="center"/>
    </xf>
    <xf numFmtId="0" fontId="8" fillId="0" borderId="0" xfId="3" applyFont="1" applyFill="1" applyBorder="1" applyAlignment="1">
      <alignment horizontal="center" vertical="center" wrapText="1"/>
    </xf>
    <xf numFmtId="0" fontId="20" fillId="0" borderId="0" xfId="3" applyFont="1" applyAlignment="1">
      <alignment vertical="center" wrapText="1"/>
    </xf>
    <xf numFmtId="0" fontId="45" fillId="0" borderId="0" xfId="3" applyFont="1" applyFill="1" applyAlignment="1">
      <alignment horizontal="center" wrapText="1"/>
    </xf>
    <xf numFmtId="0" fontId="20" fillId="0" borderId="0" xfId="3" applyFont="1" applyFill="1" applyAlignment="1">
      <alignment wrapText="1"/>
    </xf>
    <xf numFmtId="0" fontId="46" fillId="0" borderId="0" xfId="3" applyNumberFormat="1" applyFont="1" applyFill="1" applyBorder="1" applyAlignment="1"/>
    <xf numFmtId="0" fontId="20" fillId="0" borderId="0" xfId="3" applyFont="1" applyFill="1" applyBorder="1"/>
    <xf numFmtId="0" fontId="20" fillId="0" borderId="11" xfId="3" applyFont="1" applyFill="1" applyBorder="1"/>
    <xf numFmtId="0" fontId="42" fillId="0" borderId="0" xfId="3" applyFont="1" applyFill="1"/>
    <xf numFmtId="0" fontId="41" fillId="0" borderId="0" xfId="3" applyFill="1" applyBorder="1" applyAlignment="1"/>
    <xf numFmtId="0" fontId="36" fillId="0" borderId="2" xfId="3" applyNumberFormat="1" applyFont="1" applyFill="1" applyBorder="1" applyAlignment="1">
      <alignment horizontal="center" wrapText="1"/>
    </xf>
    <xf numFmtId="0" fontId="36" fillId="0" borderId="1" xfId="3" applyNumberFormat="1" applyFont="1" applyFill="1" applyBorder="1" applyAlignment="1">
      <alignment horizontal="center" vertical="center" wrapText="1"/>
    </xf>
    <xf numFmtId="0" fontId="20" fillId="0" borderId="1" xfId="3" applyFont="1" applyFill="1" applyBorder="1" applyAlignment="1">
      <alignment horizontal="center"/>
    </xf>
    <xf numFmtId="0" fontId="36" fillId="0" borderId="2" xfId="3" applyNumberFormat="1" applyFont="1" applyFill="1" applyBorder="1" applyAlignment="1">
      <alignment horizontal="center" vertical="top"/>
    </xf>
    <xf numFmtId="0" fontId="36" fillId="0" borderId="2" xfId="3" applyNumberFormat="1" applyFont="1" applyFill="1" applyBorder="1" applyAlignment="1">
      <alignment horizontal="center"/>
    </xf>
    <xf numFmtId="0" fontId="36" fillId="0" borderId="1" xfId="3" applyNumberFormat="1" applyFont="1" applyFill="1" applyBorder="1" applyAlignment="1">
      <alignment horizontal="center" vertical="center"/>
    </xf>
    <xf numFmtId="0" fontId="36" fillId="0" borderId="1" xfId="3" applyNumberFormat="1" applyFont="1" applyFill="1" applyBorder="1" applyAlignment="1">
      <alignment horizontal="center" vertical="top"/>
    </xf>
    <xf numFmtId="0" fontId="36" fillId="0" borderId="0" xfId="3" applyNumberFormat="1" applyFont="1" applyFill="1" applyBorder="1" applyAlignment="1">
      <alignment vertical="top"/>
    </xf>
    <xf numFmtId="0" fontId="20" fillId="0" borderId="1" xfId="3" applyFont="1" applyFill="1" applyBorder="1"/>
    <xf numFmtId="0" fontId="36" fillId="0" borderId="2" xfId="3" applyNumberFormat="1" applyFont="1" applyFill="1" applyBorder="1" applyAlignment="1">
      <alignment vertical="center" wrapText="1"/>
    </xf>
    <xf numFmtId="0" fontId="36" fillId="0" borderId="2" xfId="3" applyNumberFormat="1" applyFont="1" applyFill="1" applyBorder="1" applyAlignment="1">
      <alignment vertical="center"/>
    </xf>
    <xf numFmtId="0" fontId="36" fillId="0" borderId="2" xfId="3" applyNumberFormat="1" applyFont="1" applyFill="1" applyBorder="1" applyAlignment="1">
      <alignment horizontal="center" vertical="center"/>
    </xf>
    <xf numFmtId="0" fontId="36" fillId="0" borderId="1" xfId="3" applyNumberFormat="1" applyFont="1" applyFill="1" applyBorder="1" applyAlignment="1">
      <alignment horizontal="left" vertical="center"/>
    </xf>
    <xf numFmtId="0" fontId="36" fillId="0" borderId="0" xfId="3" applyNumberFormat="1" applyFont="1" applyFill="1" applyBorder="1" applyAlignment="1">
      <alignment vertical="center"/>
    </xf>
    <xf numFmtId="49" fontId="36" fillId="0" borderId="2" xfId="3" applyNumberFormat="1" applyFont="1" applyFill="1" applyBorder="1" applyAlignment="1">
      <alignment vertical="center"/>
    </xf>
    <xf numFmtId="0" fontId="42" fillId="0" borderId="1" xfId="3" applyFont="1" applyFill="1" applyBorder="1"/>
    <xf numFmtId="0" fontId="36" fillId="0" borderId="0" xfId="3" applyNumberFormat="1" applyFont="1" applyFill="1" applyBorder="1" applyAlignment="1">
      <alignment horizontal="center" vertical="center"/>
    </xf>
    <xf numFmtId="0" fontId="42" fillId="0" borderId="0" xfId="3" applyFont="1" applyFill="1" applyBorder="1"/>
    <xf numFmtId="0" fontId="41" fillId="0" borderId="0" xfId="3" applyFill="1" applyBorder="1" applyAlignment="1">
      <alignment vertical="top"/>
    </xf>
    <xf numFmtId="0" fontId="20" fillId="0" borderId="1" xfId="3" applyFont="1" applyFill="1" applyBorder="1" applyAlignment="1">
      <alignment horizontal="center" vertical="top" wrapText="1"/>
    </xf>
    <xf numFmtId="2" fontId="20" fillId="0" borderId="0" xfId="3" applyNumberFormat="1" applyFont="1" applyFill="1" applyBorder="1" applyAlignment="1">
      <alignment horizontal="center" vertical="top" wrapText="1"/>
    </xf>
    <xf numFmtId="0" fontId="36" fillId="0" borderId="1" xfId="3" applyFont="1" applyFill="1" applyBorder="1" applyAlignment="1">
      <alignment horizontal="center"/>
    </xf>
    <xf numFmtId="0" fontId="36" fillId="0" borderId="2" xfId="3" applyFont="1" applyFill="1" applyBorder="1" applyAlignment="1">
      <alignment horizontal="center"/>
    </xf>
    <xf numFmtId="0" fontId="36" fillId="0" borderId="0" xfId="3" applyFont="1" applyFill="1" applyBorder="1" applyAlignment="1">
      <alignment horizontal="center"/>
    </xf>
    <xf numFmtId="0" fontId="20" fillId="0" borderId="1" xfId="3" applyFont="1" applyFill="1" applyBorder="1" applyAlignment="1">
      <alignment horizontal="center" vertical="center"/>
    </xf>
    <xf numFmtId="0" fontId="20" fillId="0" borderId="0" xfId="3" applyFont="1" applyFill="1" applyBorder="1" applyAlignment="1">
      <alignment vertical="top" wrapText="1"/>
    </xf>
    <xf numFmtId="0" fontId="20" fillId="0" borderId="0" xfId="3" applyFont="1" applyFill="1" applyBorder="1" applyAlignment="1">
      <alignment horizontal="center"/>
    </xf>
    <xf numFmtId="49" fontId="36" fillId="0" borderId="2" xfId="3" applyNumberFormat="1" applyFont="1" applyFill="1" applyBorder="1" applyAlignment="1">
      <alignment horizontal="center" vertical="center"/>
    </xf>
    <xf numFmtId="0" fontId="20" fillId="0" borderId="0" xfId="3" applyFont="1" applyFill="1" applyBorder="1" applyAlignment="1">
      <alignment horizontal="left"/>
    </xf>
    <xf numFmtId="0" fontId="20" fillId="0" borderId="0" xfId="3" applyFont="1" applyFill="1" applyAlignment="1"/>
    <xf numFmtId="0" fontId="36" fillId="0" borderId="0" xfId="3" applyNumberFormat="1" applyFont="1" applyFill="1" applyBorder="1" applyAlignment="1">
      <alignment vertical="center" wrapText="1"/>
    </xf>
    <xf numFmtId="0" fontId="47" fillId="0" borderId="2" xfId="3" applyNumberFormat="1" applyFont="1" applyFill="1" applyBorder="1" applyAlignment="1">
      <alignment horizontal="center" vertical="center"/>
    </xf>
    <xf numFmtId="0" fontId="47" fillId="0" borderId="1" xfId="3" applyFont="1" applyFill="1" applyBorder="1" applyAlignment="1">
      <alignment horizontal="center" vertical="center"/>
    </xf>
    <xf numFmtId="0" fontId="47" fillId="0" borderId="2" xfId="3" applyFont="1" applyFill="1" applyBorder="1" applyAlignment="1">
      <alignment horizontal="center" vertical="center"/>
    </xf>
    <xf numFmtId="49" fontId="20" fillId="0" borderId="1" xfId="3" applyNumberFormat="1" applyFont="1" applyFill="1" applyBorder="1" applyAlignment="1">
      <alignment horizontal="center" vertical="center"/>
    </xf>
    <xf numFmtId="0" fontId="20" fillId="0" borderId="1" xfId="3" applyNumberFormat="1" applyFont="1" applyFill="1" applyBorder="1" applyAlignment="1">
      <alignment horizontal="center" vertical="center"/>
    </xf>
    <xf numFmtId="0" fontId="20" fillId="0" borderId="2" xfId="3" applyNumberFormat="1" applyFont="1" applyFill="1" applyBorder="1" applyAlignment="1"/>
    <xf numFmtId="0" fontId="20" fillId="0" borderId="2" xfId="3" applyNumberFormat="1" applyFont="1" applyFill="1" applyBorder="1" applyAlignment="1">
      <alignment horizontal="center"/>
    </xf>
    <xf numFmtId="49" fontId="36" fillId="0" borderId="0" xfId="3" applyNumberFormat="1" applyFont="1" applyFill="1" applyBorder="1" applyAlignment="1">
      <alignment vertical="center"/>
    </xf>
    <xf numFmtId="0" fontId="20" fillId="0" borderId="0" xfId="3" applyFont="1" applyFill="1" applyBorder="1" applyAlignment="1"/>
    <xf numFmtId="0" fontId="36" fillId="0" borderId="1" xfId="3" applyFont="1" applyFill="1" applyBorder="1" applyAlignment="1">
      <alignment horizontal="center" vertical="top" wrapText="1"/>
    </xf>
    <xf numFmtId="0" fontId="36" fillId="0" borderId="2" xfId="3" applyFont="1" applyFill="1" applyBorder="1" applyAlignment="1">
      <alignment horizontal="center" vertical="center"/>
    </xf>
    <xf numFmtId="164" fontId="20" fillId="0" borderId="1" xfId="5" applyNumberFormat="1" applyFont="1" applyFill="1" applyBorder="1" applyAlignment="1">
      <alignment horizontal="center"/>
    </xf>
    <xf numFmtId="0" fontId="20" fillId="0" borderId="1" xfId="3" applyNumberFormat="1" applyFont="1" applyFill="1" applyBorder="1" applyAlignment="1">
      <alignment horizontal="center"/>
    </xf>
    <xf numFmtId="0" fontId="20" fillId="0" borderId="2" xfId="3" applyNumberFormat="1" applyFont="1" applyFill="1" applyBorder="1" applyAlignment="1">
      <alignment horizontal="center" vertical="center"/>
    </xf>
    <xf numFmtId="0" fontId="20" fillId="0" borderId="1" xfId="3" applyNumberFormat="1" applyFont="1" applyFill="1" applyBorder="1" applyAlignment="1">
      <alignment horizontal="center" wrapText="1"/>
    </xf>
    <xf numFmtId="0" fontId="20" fillId="0" borderId="2" xfId="3" applyFont="1" applyFill="1" applyBorder="1" applyAlignment="1">
      <alignment horizontal="center" wrapText="1"/>
    </xf>
    <xf numFmtId="0" fontId="20" fillId="0" borderId="1" xfId="3" applyFont="1" applyFill="1" applyBorder="1" applyAlignment="1">
      <alignment horizontal="center" wrapText="1"/>
    </xf>
    <xf numFmtId="2" fontId="20" fillId="0" borderId="0" xfId="3" applyNumberFormat="1" applyFont="1" applyFill="1" applyBorder="1" applyAlignment="1">
      <alignment horizontal="center" wrapText="1"/>
    </xf>
    <xf numFmtId="0" fontId="20" fillId="0" borderId="0" xfId="3" applyFont="1" applyFill="1" applyBorder="1" applyAlignment="1">
      <alignment vertical="center" wrapText="1"/>
    </xf>
    <xf numFmtId="0" fontId="36" fillId="0" borderId="1" xfId="3" applyNumberFormat="1" applyFont="1" applyFill="1" applyBorder="1" applyAlignment="1">
      <alignment horizontal="center"/>
    </xf>
    <xf numFmtId="0" fontId="20" fillId="0" borderId="0" xfId="3" applyNumberFormat="1" applyFont="1" applyFill="1" applyBorder="1" applyAlignment="1">
      <alignment horizontal="center"/>
    </xf>
    <xf numFmtId="49" fontId="20" fillId="0" borderId="0" xfId="3" applyNumberFormat="1" applyFont="1" applyFill="1" applyBorder="1" applyAlignment="1">
      <alignment horizontal="left"/>
    </xf>
    <xf numFmtId="0" fontId="20" fillId="0" borderId="0" xfId="3" applyFont="1" applyFill="1" applyBorder="1" applyAlignment="1">
      <alignment horizontal="center" vertical="center"/>
    </xf>
    <xf numFmtId="0" fontId="42" fillId="0" borderId="0" xfId="3" applyFont="1" applyFill="1" applyAlignment="1">
      <alignment wrapText="1"/>
    </xf>
    <xf numFmtId="0" fontId="36" fillId="0" borderId="5" xfId="3" applyFont="1" applyFill="1" applyBorder="1" applyAlignment="1">
      <alignment horizontal="center"/>
    </xf>
    <xf numFmtId="0" fontId="36" fillId="0" borderId="12" xfId="3" applyNumberFormat="1" applyFont="1" applyFill="1" applyBorder="1" applyAlignment="1">
      <alignment horizontal="center"/>
    </xf>
    <xf numFmtId="0" fontId="42" fillId="0" borderId="0" xfId="3" applyFont="1" applyFill="1" applyBorder="1" applyAlignment="1"/>
    <xf numFmtId="0" fontId="36" fillId="0" borderId="0" xfId="3" applyNumberFormat="1" applyFont="1" applyFill="1" applyBorder="1" applyAlignment="1">
      <alignment horizontal="left" vertical="center" wrapText="1"/>
    </xf>
    <xf numFmtId="0" fontId="36" fillId="0" borderId="0" xfId="3" applyNumberFormat="1" applyFont="1" applyFill="1" applyBorder="1" applyAlignment="1">
      <alignment horizontal="left" vertical="top"/>
    </xf>
    <xf numFmtId="49" fontId="36" fillId="0" borderId="0" xfId="3" applyNumberFormat="1" applyFont="1" applyFill="1" applyBorder="1" applyAlignment="1">
      <alignment horizontal="left" vertical="center"/>
    </xf>
    <xf numFmtId="0" fontId="41" fillId="0" borderId="0" xfId="3" applyFill="1" applyBorder="1" applyAlignment="1">
      <alignment vertical="top" wrapText="1"/>
    </xf>
    <xf numFmtId="0" fontId="45" fillId="0" borderId="0" xfId="3" applyFont="1"/>
    <xf numFmtId="0" fontId="48" fillId="0" borderId="0" xfId="3" applyFont="1" applyBorder="1" applyAlignment="1">
      <alignment horizontal="center"/>
    </xf>
    <xf numFmtId="4" fontId="45" fillId="0" borderId="1" xfId="3" applyNumberFormat="1" applyFont="1" applyBorder="1" applyAlignment="1">
      <alignment horizontal="center" vertical="center"/>
    </xf>
    <xf numFmtId="2" fontId="20" fillId="0" borderId="1" xfId="3" applyNumberFormat="1" applyFont="1" applyFill="1" applyBorder="1" applyAlignment="1">
      <alignment horizontal="center" wrapText="1"/>
    </xf>
    <xf numFmtId="2" fontId="20" fillId="0" borderId="1" xfId="3" applyNumberFormat="1" applyFont="1" applyFill="1" applyBorder="1" applyAlignment="1">
      <alignment horizontal="center" vertical="top" wrapText="1"/>
    </xf>
    <xf numFmtId="0" fontId="20" fillId="0" borderId="1" xfId="3" applyFont="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0" xfId="0" applyFont="1" applyAlignment="1">
      <alignment vertical="center"/>
    </xf>
    <xf numFmtId="0" fontId="3" fillId="0" borderId="1" xfId="0" applyFont="1" applyFill="1" applyBorder="1" applyAlignment="1">
      <alignment horizontal="left" vertical="center" wrapText="1" indent="6"/>
    </xf>
    <xf numFmtId="0" fontId="7" fillId="0" borderId="11" xfId="0" applyFont="1" applyBorder="1"/>
    <xf numFmtId="0" fontId="8" fillId="0" borderId="0" xfId="3" applyFont="1" applyFill="1" applyBorder="1" applyAlignment="1">
      <alignment horizontal="center" vertical="center"/>
    </xf>
    <xf numFmtId="0" fontId="8" fillId="0" borderId="11" xfId="3" applyFont="1" applyFill="1" applyBorder="1" applyAlignment="1">
      <alignment horizontal="center"/>
    </xf>
    <xf numFmtId="0" fontId="20" fillId="0" borderId="1" xfId="3" applyFont="1" applyBorder="1" applyAlignment="1">
      <alignment horizontal="center" vertical="center" wrapText="1"/>
    </xf>
    <xf numFmtId="0" fontId="20" fillId="0" borderId="2" xfId="3" applyFont="1" applyFill="1" applyBorder="1" applyAlignment="1">
      <alignment horizontal="center" vertical="center"/>
    </xf>
    <xf numFmtId="0" fontId="20" fillId="0" borderId="2" xfId="3" applyFont="1" applyFill="1" applyBorder="1" applyAlignment="1">
      <alignment horizontal="center"/>
    </xf>
    <xf numFmtId="0" fontId="42" fillId="0" borderId="0" xfId="3" applyFont="1" applyFill="1" applyAlignment="1">
      <alignment horizontal="center" wrapText="1"/>
    </xf>
    <xf numFmtId="0" fontId="42" fillId="0" borderId="0" xfId="3" applyFont="1" applyFill="1" applyBorder="1" applyAlignment="1">
      <alignment horizontal="left" wrapText="1"/>
    </xf>
    <xf numFmtId="0" fontId="36" fillId="0" borderId="1" xfId="3" applyFont="1" applyFill="1" applyBorder="1" applyAlignment="1">
      <alignment horizontal="center" vertical="center"/>
    </xf>
    <xf numFmtId="0" fontId="42" fillId="0" borderId="0" xfId="3" applyFont="1" applyFill="1" applyAlignment="1">
      <alignment horizontal="center"/>
    </xf>
    <xf numFmtId="0" fontId="47" fillId="0" borderId="1" xfId="3" applyNumberFormat="1" applyFont="1" applyFill="1" applyBorder="1" applyAlignment="1">
      <alignment horizontal="center" vertical="center"/>
    </xf>
    <xf numFmtId="0" fontId="20" fillId="0" borderId="1" xfId="3" applyNumberFormat="1" applyFont="1" applyFill="1" applyBorder="1" applyAlignment="1">
      <alignment horizontal="center" vertical="top" wrapText="1"/>
    </xf>
    <xf numFmtId="0" fontId="20" fillId="0" borderId="1" xfId="3" applyFont="1" applyFill="1" applyBorder="1" applyAlignment="1">
      <alignment horizontal="center" wrapText="1"/>
    </xf>
    <xf numFmtId="0" fontId="42" fillId="0" borderId="0" xfId="3" applyFont="1" applyFill="1" applyAlignment="1">
      <alignment horizontal="left" wrapText="1"/>
    </xf>
    <xf numFmtId="0" fontId="36" fillId="0" borderId="2" xfId="3" applyNumberFormat="1" applyFont="1" applyFill="1" applyBorder="1" applyAlignment="1">
      <alignment horizontal="center" vertical="center" wrapText="1"/>
    </xf>
    <xf numFmtId="0" fontId="20" fillId="0" borderId="0" xfId="3" applyFont="1" applyFill="1" applyAlignment="1">
      <alignment horizontal="left"/>
    </xf>
    <xf numFmtId="0" fontId="20" fillId="0" borderId="1" xfId="3" applyFont="1" applyFill="1" applyBorder="1" applyAlignment="1">
      <alignment horizontal="center"/>
    </xf>
    <xf numFmtId="4" fontId="0" fillId="0" borderId="0" xfId="0" applyNumberFormat="1"/>
    <xf numFmtId="49" fontId="9" fillId="0" borderId="0" xfId="14" applyNumberFormat="1" applyFont="1"/>
    <xf numFmtId="0" fontId="8" fillId="0" borderId="0" xfId="14" applyFont="1"/>
    <xf numFmtId="0" fontId="1" fillId="0" borderId="0" xfId="14"/>
    <xf numFmtId="0" fontId="9" fillId="0" borderId="0" xfId="14" applyFont="1" applyAlignment="1">
      <alignment vertical="center" wrapText="1"/>
    </xf>
    <xf numFmtId="0" fontId="8" fillId="0" borderId="11" xfId="14" applyFont="1" applyBorder="1" applyAlignment="1">
      <alignment vertical="center" wrapText="1"/>
    </xf>
    <xf numFmtId="0" fontId="8" fillId="0" borderId="0" xfId="14" applyFont="1" applyBorder="1" applyAlignment="1">
      <alignment vertical="center" wrapText="1"/>
    </xf>
    <xf numFmtId="0" fontId="8" fillId="0" borderId="0" xfId="14" applyFont="1" applyAlignment="1">
      <alignment vertical="center" wrapText="1"/>
    </xf>
    <xf numFmtId="0" fontId="8" fillId="0" borderId="0" xfId="14" applyFont="1" applyAlignment="1">
      <alignment horizontal="left" vertical="center" wrapText="1"/>
    </xf>
    <xf numFmtId="49" fontId="9" fillId="0" borderId="0" xfId="14" applyNumberFormat="1" applyFont="1" applyBorder="1" applyAlignment="1"/>
    <xf numFmtId="0" fontId="9" fillId="0" borderId="0" xfId="14" applyFont="1" applyBorder="1"/>
    <xf numFmtId="0" fontId="40" fillId="0" borderId="0" xfId="14" applyFont="1" applyBorder="1"/>
    <xf numFmtId="0" fontId="8" fillId="0" borderId="0" xfId="14" applyFont="1" applyBorder="1" applyAlignment="1">
      <alignment wrapText="1"/>
    </xf>
    <xf numFmtId="0" fontId="1" fillId="0" borderId="0" xfId="14" applyFont="1" applyAlignment="1">
      <alignment vertical="center" wrapText="1"/>
    </xf>
    <xf numFmtId="49" fontId="8" fillId="0" borderId="1" xfId="14" applyNumberFormat="1" applyFont="1" applyBorder="1" applyAlignment="1">
      <alignment horizontal="center" vertical="center" wrapText="1"/>
    </xf>
    <xf numFmtId="0" fontId="8" fillId="0" borderId="1" xfId="14" applyFont="1" applyBorder="1" applyAlignment="1">
      <alignment horizontal="center" vertical="center" wrapText="1"/>
    </xf>
    <xf numFmtId="0" fontId="8" fillId="0" borderId="0" xfId="14" applyFont="1" applyAlignment="1">
      <alignment horizontal="center" vertical="center" wrapText="1"/>
    </xf>
    <xf numFmtId="0" fontId="1" fillId="0" borderId="0" xfId="14" applyFont="1" applyAlignment="1">
      <alignment horizontal="center" vertical="center" wrapText="1"/>
    </xf>
    <xf numFmtId="49" fontId="8" fillId="0" borderId="1" xfId="14" applyNumberFormat="1" applyFont="1" applyBorder="1" applyAlignment="1">
      <alignment horizontal="center" vertical="center"/>
    </xf>
    <xf numFmtId="0" fontId="8" fillId="0" borderId="1" xfId="14" applyFont="1" applyFill="1" applyBorder="1" applyAlignment="1">
      <alignment horizontal="center" vertical="center"/>
    </xf>
    <xf numFmtId="4" fontId="8" fillId="0" borderId="1" xfId="14" applyNumberFormat="1" applyFont="1" applyFill="1" applyBorder="1" applyAlignment="1">
      <alignment horizontal="center" vertical="center"/>
    </xf>
    <xf numFmtId="0" fontId="8" fillId="0" borderId="0" xfId="14" applyFont="1" applyAlignment="1">
      <alignment horizontal="center" vertical="center"/>
    </xf>
    <xf numFmtId="0" fontId="1" fillId="0" borderId="0" xfId="14" applyFont="1" applyAlignment="1">
      <alignment horizontal="center" vertical="center"/>
    </xf>
    <xf numFmtId="0" fontId="8" fillId="0" borderId="1" xfId="14" applyFont="1" applyBorder="1" applyAlignment="1">
      <alignment horizontal="center" vertical="center"/>
    </xf>
    <xf numFmtId="4" fontId="20" fillId="0" borderId="1" xfId="15" applyNumberFormat="1" applyFont="1" applyFill="1" applyBorder="1" applyAlignment="1">
      <alignment horizontal="center" vertical="center"/>
    </xf>
    <xf numFmtId="0" fontId="20" fillId="0" borderId="1" xfId="14" applyNumberFormat="1" applyFont="1" applyFill="1" applyBorder="1" applyAlignment="1">
      <alignment horizontal="center" vertical="center" wrapText="1"/>
    </xf>
    <xf numFmtId="0" fontId="8" fillId="0" borderId="3" xfId="14" applyFont="1" applyBorder="1" applyAlignment="1">
      <alignment horizontal="center" vertical="center"/>
    </xf>
    <xf numFmtId="0" fontId="9" fillId="0" borderId="1" xfId="14" applyFont="1" applyFill="1" applyBorder="1" applyAlignment="1">
      <alignment horizontal="center" vertical="center"/>
    </xf>
    <xf numFmtId="4" fontId="9" fillId="0" borderId="1" xfId="14" applyNumberFormat="1" applyFont="1" applyFill="1" applyBorder="1" applyAlignment="1">
      <alignment horizontal="center" vertical="center"/>
    </xf>
    <xf numFmtId="49" fontId="9" fillId="0" borderId="11" xfId="14" applyNumberFormat="1" applyFont="1" applyBorder="1" applyAlignment="1">
      <alignment horizontal="left"/>
    </xf>
    <xf numFmtId="49" fontId="8" fillId="0" borderId="11" xfId="14" applyNumberFormat="1" applyFont="1" applyBorder="1" applyAlignment="1">
      <alignment horizontal="left"/>
    </xf>
    <xf numFmtId="1" fontId="8" fillId="0" borderId="1" xfId="14" applyNumberFormat="1" applyFont="1" applyBorder="1" applyAlignment="1">
      <alignment horizontal="center" vertical="center"/>
    </xf>
    <xf numFmtId="4" fontId="8" fillId="0" borderId="1" xfId="14" applyNumberFormat="1" applyFont="1" applyBorder="1" applyAlignment="1">
      <alignment horizontal="center" vertical="center"/>
    </xf>
    <xf numFmtId="49" fontId="8" fillId="0" borderId="1" xfId="14" applyNumberFormat="1" applyFont="1" applyFill="1" applyBorder="1" applyAlignment="1">
      <alignment horizontal="center" vertical="center"/>
    </xf>
    <xf numFmtId="0" fontId="8" fillId="0" borderId="1" xfId="14" applyFont="1" applyFill="1" applyBorder="1" applyAlignment="1">
      <alignment vertical="center" wrapText="1"/>
    </xf>
    <xf numFmtId="4" fontId="20" fillId="0" borderId="1" xfId="16" applyNumberFormat="1" applyFont="1" applyFill="1" applyBorder="1" applyAlignment="1">
      <alignment horizontal="center" vertical="center" wrapText="1"/>
    </xf>
    <xf numFmtId="0" fontId="8" fillId="0" borderId="1" xfId="0" applyFont="1" applyFill="1" applyBorder="1" applyAlignment="1">
      <alignment vertical="center" wrapText="1"/>
    </xf>
    <xf numFmtId="4" fontId="20" fillId="0" borderId="1" xfId="16" applyNumberFormat="1" applyFont="1" applyFill="1" applyBorder="1" applyAlignment="1">
      <alignment horizontal="left" vertical="center" wrapText="1"/>
    </xf>
    <xf numFmtId="4" fontId="8" fillId="0" borderId="1" xfId="17" applyNumberFormat="1" applyFont="1" applyFill="1" applyBorder="1" applyAlignment="1">
      <alignment horizontal="center" vertical="center"/>
    </xf>
    <xf numFmtId="0" fontId="9" fillId="0" borderId="1" xfId="14" applyFont="1" applyBorder="1" applyAlignment="1">
      <alignment horizontal="center" vertical="center"/>
    </xf>
    <xf numFmtId="4" fontId="9" fillId="0" borderId="1" xfId="14" applyNumberFormat="1" applyFont="1" applyBorder="1" applyAlignment="1">
      <alignment horizontal="center" vertical="center"/>
    </xf>
    <xf numFmtId="49" fontId="8" fillId="0" borderId="0" xfId="14" applyNumberFormat="1" applyFont="1" applyBorder="1" applyAlignment="1">
      <alignment horizontal="left"/>
    </xf>
    <xf numFmtId="0" fontId="9" fillId="0" borderId="0" xfId="14" applyFont="1" applyAlignment="1">
      <alignment horizontal="center" vertical="center"/>
    </xf>
    <xf numFmtId="0" fontId="40" fillId="0" borderId="0" xfId="14" applyFont="1" applyAlignment="1">
      <alignment horizontal="center" vertical="center"/>
    </xf>
    <xf numFmtId="49" fontId="9" fillId="0" borderId="0" xfId="14" applyNumberFormat="1" applyFont="1" applyBorder="1" applyAlignment="1">
      <alignment horizontal="left"/>
    </xf>
    <xf numFmtId="0" fontId="8" fillId="0" borderId="0" xfId="14" applyFont="1" applyBorder="1" applyAlignment="1">
      <alignment horizontal="center" vertical="center" wrapText="1"/>
    </xf>
    <xf numFmtId="4" fontId="20" fillId="0" borderId="0" xfId="3" applyNumberFormat="1" applyFont="1"/>
    <xf numFmtId="4" fontId="20" fillId="0" borderId="0" xfId="3" applyNumberFormat="1" applyFont="1" applyFill="1"/>
    <xf numFmtId="0" fontId="43" fillId="0" borderId="0" xfId="14" applyFont="1"/>
    <xf numFmtId="0" fontId="8" fillId="0" borderId="0" xfId="14" applyFont="1" applyAlignment="1">
      <alignment horizontal="right" vertical="center" wrapText="1"/>
    </xf>
    <xf numFmtId="0" fontId="8" fillId="0" borderId="11" xfId="14" applyFont="1" applyBorder="1" applyAlignment="1">
      <alignment horizontal="center" wrapText="1"/>
    </xf>
    <xf numFmtId="0" fontId="8" fillId="0" borderId="0" xfId="14" applyFont="1" applyBorder="1" applyAlignment="1">
      <alignment horizontal="center" wrapText="1"/>
    </xf>
    <xf numFmtId="0" fontId="43" fillId="0" borderId="0" xfId="14" applyFont="1" applyAlignment="1">
      <alignment horizontal="center" vertical="center" wrapText="1"/>
    </xf>
    <xf numFmtId="0" fontId="43" fillId="0" borderId="0" xfId="14" applyFont="1" applyAlignment="1">
      <alignment horizontal="center" vertical="center"/>
    </xf>
    <xf numFmtId="164" fontId="36" fillId="0" borderId="2" xfId="3" applyNumberFormat="1" applyFont="1" applyFill="1" applyBorder="1" applyAlignment="1">
      <alignment horizontal="center" vertical="center"/>
    </xf>
    <xf numFmtId="4" fontId="36" fillId="0" borderId="2" xfId="3" applyNumberFormat="1" applyFont="1" applyFill="1" applyBorder="1" applyAlignment="1">
      <alignment horizontal="center"/>
    </xf>
    <xf numFmtId="4" fontId="36" fillId="0" borderId="1" xfId="3" applyNumberFormat="1" applyFont="1" applyFill="1" applyBorder="1" applyAlignment="1">
      <alignment horizontal="center" vertical="center"/>
    </xf>
    <xf numFmtId="4" fontId="36" fillId="0" borderId="2" xfId="3" applyNumberFormat="1" applyFont="1" applyFill="1" applyBorder="1" applyAlignment="1">
      <alignment horizontal="center" vertical="center"/>
    </xf>
    <xf numFmtId="43" fontId="36" fillId="0" borderId="2" xfId="3" applyNumberFormat="1" applyFont="1" applyFill="1" applyBorder="1" applyAlignment="1">
      <alignment horizontal="center"/>
    </xf>
    <xf numFmtId="43" fontId="36" fillId="0" borderId="1" xfId="3" applyNumberFormat="1" applyFont="1" applyFill="1" applyBorder="1" applyAlignment="1">
      <alignment horizontal="center" vertical="center"/>
    </xf>
    <xf numFmtId="43" fontId="36" fillId="0" borderId="2" xfId="3" applyNumberFormat="1" applyFont="1" applyFill="1" applyBorder="1" applyAlignment="1">
      <alignment horizontal="center" vertical="center"/>
    </xf>
    <xf numFmtId="0" fontId="9" fillId="0" borderId="1" xfId="3" applyFont="1" applyFill="1" applyBorder="1" applyAlignment="1">
      <alignment horizontal="center" wrapText="1"/>
    </xf>
    <xf numFmtId="0" fontId="9" fillId="0" borderId="1" xfId="3" applyFont="1" applyFill="1" applyBorder="1" applyAlignment="1">
      <alignment horizontal="center" vertical="top" wrapText="1"/>
    </xf>
    <xf numFmtId="0" fontId="55" fillId="0" borderId="1" xfId="3" applyFont="1" applyFill="1" applyBorder="1" applyAlignment="1">
      <alignment horizontal="center" vertical="top" wrapText="1"/>
    </xf>
    <xf numFmtId="0" fontId="9" fillId="0" borderId="0" xfId="18" applyFont="1" applyFill="1" applyBorder="1" applyAlignment="1">
      <alignment horizontal="center" vertical="top" wrapText="1"/>
    </xf>
    <xf numFmtId="0" fontId="9" fillId="0" borderId="0" xfId="18" applyFont="1" applyFill="1" applyBorder="1" applyAlignment="1">
      <alignment horizontal="center" wrapText="1"/>
    </xf>
    <xf numFmtId="0" fontId="20" fillId="0" borderId="1" xfId="3" applyFont="1" applyFill="1" applyBorder="1" applyAlignment="1">
      <alignment horizontal="left" wrapText="1"/>
    </xf>
    <xf numFmtId="167" fontId="20" fillId="0" borderId="1" xfId="3" applyNumberFormat="1" applyFont="1" applyFill="1" applyBorder="1" applyAlignment="1">
      <alignment horizontal="center" vertical="center"/>
    </xf>
    <xf numFmtId="0" fontId="20" fillId="0" borderId="2" xfId="3" applyNumberFormat="1" applyFont="1" applyFill="1" applyBorder="1" applyAlignment="1">
      <alignment vertical="center" wrapText="1"/>
    </xf>
    <xf numFmtId="4" fontId="20" fillId="0" borderId="2" xfId="3" applyNumberFormat="1" applyFont="1" applyFill="1" applyBorder="1" applyAlignment="1">
      <alignment horizontal="center" vertical="center"/>
    </xf>
    <xf numFmtId="4" fontId="20" fillId="0" borderId="1" xfId="3" applyNumberFormat="1" applyFont="1" applyFill="1" applyBorder="1" applyAlignment="1">
      <alignment horizontal="center" vertical="center"/>
    </xf>
    <xf numFmtId="167" fontId="42" fillId="0" borderId="1" xfId="3" applyNumberFormat="1" applyFont="1" applyFill="1" applyBorder="1" applyAlignment="1">
      <alignment horizontal="center"/>
    </xf>
    <xf numFmtId="167" fontId="42" fillId="0" borderId="1" xfId="3" applyNumberFormat="1" applyFont="1" applyFill="1" applyBorder="1" applyAlignment="1">
      <alignment horizontal="center" vertical="center"/>
    </xf>
    <xf numFmtId="166" fontId="20" fillId="0" borderId="1" xfId="3" applyNumberFormat="1" applyFont="1" applyFill="1" applyBorder="1" applyAlignment="1">
      <alignment horizontal="center" vertical="center"/>
    </xf>
    <xf numFmtId="43" fontId="20" fillId="0" borderId="1" xfId="3" applyNumberFormat="1" applyFont="1" applyFill="1" applyBorder="1" applyAlignment="1">
      <alignment horizontal="center" vertical="center"/>
    </xf>
    <xf numFmtId="166" fontId="20" fillId="0" borderId="1" xfId="3" applyNumberFormat="1" applyFont="1" applyFill="1" applyBorder="1" applyAlignment="1">
      <alignment vertical="center"/>
    </xf>
    <xf numFmtId="0" fontId="20" fillId="0" borderId="1" xfId="3" applyFont="1" applyFill="1" applyBorder="1" applyAlignment="1">
      <alignment vertical="center"/>
    </xf>
    <xf numFmtId="43" fontId="20" fillId="0" borderId="1" xfId="3" applyNumberFormat="1" applyFont="1" applyFill="1" applyBorder="1" applyAlignment="1">
      <alignment vertical="center"/>
    </xf>
    <xf numFmtId="4" fontId="42" fillId="0" borderId="1" xfId="3" applyNumberFormat="1" applyFont="1" applyFill="1" applyBorder="1" applyAlignment="1">
      <alignment horizontal="center" vertical="center"/>
    </xf>
    <xf numFmtId="4" fontId="42" fillId="0" borderId="1" xfId="3" applyNumberFormat="1" applyFont="1" applyFill="1" applyBorder="1" applyAlignment="1">
      <alignment horizontal="center"/>
    </xf>
    <xf numFmtId="4" fontId="42" fillId="0" borderId="2" xfId="3" applyNumberFormat="1" applyFont="1" applyFill="1" applyBorder="1" applyAlignment="1">
      <alignment horizontal="center" vertical="center"/>
    </xf>
    <xf numFmtId="4" fontId="20" fillId="0" borderId="1" xfId="5" applyNumberFormat="1" applyFont="1" applyFill="1" applyBorder="1" applyAlignment="1">
      <alignment horizontal="center"/>
    </xf>
    <xf numFmtId="4" fontId="20" fillId="0" borderId="1" xfId="3" applyNumberFormat="1" applyFont="1" applyFill="1" applyBorder="1"/>
    <xf numFmtId="4" fontId="20" fillId="0" borderId="1" xfId="3" applyNumberFormat="1" applyFont="1" applyFill="1" applyBorder="1" applyAlignment="1">
      <alignment horizontal="center"/>
    </xf>
    <xf numFmtId="0" fontId="20" fillId="0" borderId="1" xfId="3" applyNumberFormat="1" applyFont="1" applyFill="1" applyBorder="1" applyAlignment="1">
      <alignment horizontal="left" wrapText="1"/>
    </xf>
    <xf numFmtId="4" fontId="20" fillId="0" borderId="2" xfId="3" applyNumberFormat="1" applyFont="1" applyFill="1" applyBorder="1" applyAlignment="1">
      <alignment horizontal="center"/>
    </xf>
    <xf numFmtId="4" fontId="42" fillId="0" borderId="2" xfId="3" applyNumberFormat="1" applyFont="1" applyFill="1" applyBorder="1" applyAlignment="1">
      <alignment horizontal="center"/>
    </xf>
    <xf numFmtId="49" fontId="36" fillId="0" borderId="1" xfId="3" applyNumberFormat="1" applyFont="1" applyFill="1" applyBorder="1" applyAlignment="1">
      <alignment horizontal="center" vertical="center"/>
    </xf>
    <xf numFmtId="0" fontId="36" fillId="0" borderId="5" xfId="3" applyFont="1" applyFill="1" applyBorder="1" applyAlignment="1">
      <alignment horizontal="center" vertical="center"/>
    </xf>
    <xf numFmtId="0" fontId="36" fillId="0" borderId="1" xfId="3" applyNumberFormat="1" applyFont="1" applyFill="1" applyBorder="1" applyAlignment="1">
      <alignment horizontal="left" wrapText="1"/>
    </xf>
    <xf numFmtId="4" fontId="20" fillId="3" borderId="1" xfId="3" applyNumberFormat="1" applyFont="1" applyFill="1" applyBorder="1" applyAlignment="1">
      <alignment horizontal="center" vertical="center"/>
    </xf>
    <xf numFmtId="0" fontId="36" fillId="0" borderId="2" xfId="3" applyNumberFormat="1" applyFont="1" applyFill="1" applyBorder="1" applyAlignment="1">
      <alignment horizontal="left" wrapText="1"/>
    </xf>
    <xf numFmtId="4" fontId="8" fillId="0" borderId="0" xfId="3" applyNumberFormat="1" applyFont="1" applyFill="1" applyBorder="1" applyAlignment="1">
      <alignment horizontal="center"/>
    </xf>
    <xf numFmtId="4" fontId="8" fillId="0" borderId="0" xfId="3" applyNumberFormat="1" applyFont="1" applyFill="1" applyBorder="1" applyAlignment="1">
      <alignment horizontal="center" vertical="center"/>
    </xf>
    <xf numFmtId="167" fontId="36" fillId="0" borderId="1" xfId="3" applyNumberFormat="1" applyFont="1" applyFill="1" applyBorder="1" applyAlignment="1">
      <alignment horizontal="center" vertical="center"/>
    </xf>
    <xf numFmtId="0" fontId="20" fillId="0" borderId="3" xfId="3"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xf>
    <xf numFmtId="4" fontId="7" fillId="0" borderId="1" xfId="0" applyNumberFormat="1" applyFont="1" applyBorder="1" applyAlignment="1">
      <alignment horizontal="center" vertical="center" wrapText="1"/>
    </xf>
    <xf numFmtId="0" fontId="22" fillId="0" borderId="0" xfId="0" applyFont="1" applyAlignment="1">
      <alignment horizontal="left" vertical="center"/>
    </xf>
    <xf numFmtId="0" fontId="4" fillId="0" borderId="0" xfId="0" applyFont="1" applyAlignment="1">
      <alignment horizontal="center" vertical="center"/>
    </xf>
    <xf numFmtId="0" fontId="20" fillId="0" borderId="1" xfId="3" applyFont="1" applyFill="1" applyBorder="1" applyAlignment="1">
      <alignment horizontal="center"/>
    </xf>
    <xf numFmtId="2" fontId="0" fillId="0" borderId="0" xfId="0" applyNumberFormat="1"/>
    <xf numFmtId="0" fontId="7" fillId="0" borderId="0" xfId="0" applyFont="1" applyAlignment="1">
      <alignment horizontal="center"/>
    </xf>
    <xf numFmtId="4" fontId="7" fillId="0" borderId="0" xfId="0" applyNumberFormat="1" applyFont="1" applyAlignment="1">
      <alignment horizontal="center" vertical="center" wrapText="1"/>
    </xf>
    <xf numFmtId="0" fontId="7" fillId="0" borderId="1" xfId="0" applyFont="1" applyBorder="1" applyAlignment="1">
      <alignment horizontal="center"/>
    </xf>
    <xf numFmtId="0" fontId="7" fillId="0" borderId="0" xfId="0" applyFont="1" applyBorder="1" applyAlignment="1">
      <alignment horizontal="center"/>
    </xf>
    <xf numFmtId="4" fontId="47" fillId="0" borderId="1" xfId="5" applyNumberFormat="1" applyFont="1" applyFill="1" applyBorder="1" applyAlignment="1">
      <alignment horizontal="center"/>
    </xf>
    <xf numFmtId="164" fontId="47" fillId="0" borderId="1" xfId="5" applyNumberFormat="1" applyFont="1" applyFill="1" applyBorder="1" applyAlignment="1">
      <alignment horizontal="center"/>
    </xf>
    <xf numFmtId="4" fontId="7" fillId="0" borderId="0" xfId="0" applyNumberFormat="1" applyFont="1"/>
    <xf numFmtId="0" fontId="8" fillId="0" borderId="0" xfId="0" applyFont="1" applyAlignment="1">
      <alignment horizontal="center"/>
    </xf>
    <xf numFmtId="0" fontId="0" fillId="0" borderId="0" xfId="0" applyAlignment="1">
      <alignment horizontal="center"/>
    </xf>
    <xf numFmtId="0" fontId="27" fillId="0" borderId="0" xfId="0" applyFont="1" applyAlignment="1">
      <alignment horizontal="center"/>
    </xf>
    <xf numFmtId="0" fontId="0" fillId="0" borderId="0" xfId="0" applyFont="1" applyAlignment="1">
      <alignment horizontal="center"/>
    </xf>
    <xf numFmtId="0" fontId="47" fillId="0" borderId="2" xfId="3" applyNumberFormat="1" applyFont="1" applyFill="1" applyBorder="1" applyAlignment="1">
      <alignment horizontal="left" wrapText="1"/>
    </xf>
    <xf numFmtId="0" fontId="8" fillId="0" borderId="1" xfId="0" applyFont="1" applyBorder="1" applyAlignment="1">
      <alignment horizontal="center" vertical="center" wrapText="1"/>
    </xf>
    <xf numFmtId="0" fontId="9" fillId="0" borderId="0" xfId="0" applyFont="1" applyAlignment="1">
      <alignment horizontal="center" vertical="center"/>
    </xf>
    <xf numFmtId="0" fontId="7" fillId="0" borderId="1" xfId="0" applyFont="1" applyBorder="1" applyAlignment="1">
      <alignment horizontal="center" vertical="center" wrapText="1"/>
    </xf>
    <xf numFmtId="0" fontId="8" fillId="0" borderId="0" xfId="0" applyFont="1" applyAlignment="1">
      <alignment horizontal="center" vertical="center"/>
    </xf>
    <xf numFmtId="0" fontId="28" fillId="0" borderId="1" xfId="0" applyFont="1" applyBorder="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vertical="center" wrapText="1"/>
    </xf>
    <xf numFmtId="0" fontId="28" fillId="0" borderId="0" xfId="0" applyFont="1" applyAlignment="1">
      <alignment vertical="center" wrapText="1"/>
    </xf>
    <xf numFmtId="0" fontId="8" fillId="0" borderId="0" xfId="0" applyFont="1" applyAlignment="1">
      <alignment vertical="center" wrapText="1"/>
    </xf>
    <xf numFmtId="0" fontId="28" fillId="0" borderId="0" xfId="0" applyFont="1" applyAlignment="1">
      <alignment horizontal="center" vertical="center" wrapText="1"/>
    </xf>
    <xf numFmtId="0" fontId="32" fillId="0" borderId="0" xfId="0" applyFont="1" applyAlignment="1">
      <alignment horizontal="center" vertical="center"/>
    </xf>
    <xf numFmtId="0" fontId="9" fillId="0" borderId="0" xfId="0" applyFont="1" applyBorder="1" applyAlignment="1">
      <alignment horizontal="center" vertical="center" wrapText="1"/>
    </xf>
    <xf numFmtId="0" fontId="28" fillId="0" borderId="0"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3" fillId="0" borderId="0" xfId="0" applyFont="1"/>
    <xf numFmtId="0" fontId="7" fillId="0" borderId="0" xfId="0" applyFont="1" applyAlignment="1">
      <alignment horizontal="right" vertical="center"/>
    </xf>
    <xf numFmtId="0" fontId="13" fillId="0" borderId="0" xfId="0" applyFont="1" applyFill="1" applyAlignment="1">
      <alignment horizontal="right" wrapText="1"/>
    </xf>
    <xf numFmtId="0" fontId="0" fillId="0" borderId="0" xfId="0" applyFont="1" applyFill="1" applyAlignment="1"/>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4" fontId="36"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7" fillId="0" borderId="1" xfId="0" applyFont="1" applyBorder="1" applyAlignment="1">
      <alignment vertical="center" wrapText="1"/>
    </xf>
    <xf numFmtId="0" fontId="58" fillId="0" borderId="1" xfId="0" applyFont="1" applyBorder="1" applyAlignment="1">
      <alignment horizontal="center" vertical="center" wrapText="1"/>
    </xf>
    <xf numFmtId="0" fontId="7" fillId="0" borderId="1" xfId="0" applyFont="1" applyBorder="1" applyAlignment="1">
      <alignment horizontal="center" vertical="top" wrapText="1"/>
    </xf>
    <xf numFmtId="4" fontId="3"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20" fillId="0" borderId="1" xfId="3" applyFont="1" applyBorder="1" applyAlignment="1">
      <alignment horizontal="center" vertical="center" wrapText="1"/>
    </xf>
    <xf numFmtId="0" fontId="20" fillId="0" borderId="1" xfId="3" applyNumberFormat="1" applyFont="1" applyFill="1" applyBorder="1" applyAlignment="1">
      <alignment horizontal="center" vertical="center" wrapText="1"/>
    </xf>
    <xf numFmtId="0" fontId="20" fillId="0" borderId="2" xfId="3" applyFont="1" applyFill="1" applyBorder="1" applyAlignment="1">
      <alignment horizontal="center" vertical="center" wrapText="1"/>
    </xf>
    <xf numFmtId="0" fontId="47" fillId="0" borderId="1" xfId="3" applyNumberFormat="1" applyFont="1" applyFill="1" applyBorder="1" applyAlignment="1">
      <alignment horizontal="center" vertical="center"/>
    </xf>
    <xf numFmtId="0" fontId="36" fillId="0" borderId="1" xfId="3" applyFont="1" applyFill="1" applyBorder="1" applyAlignment="1">
      <alignment horizontal="center" vertical="center" wrapText="1"/>
    </xf>
    <xf numFmtId="0" fontId="36" fillId="0" borderId="2" xfId="3" applyNumberFormat="1" applyFont="1" applyFill="1" applyBorder="1" applyAlignment="1">
      <alignment horizontal="center" vertical="center" wrapText="1"/>
    </xf>
    <xf numFmtId="4" fontId="36" fillId="0" borderId="0" xfId="3" applyNumberFormat="1" applyFont="1" applyFill="1" applyBorder="1" applyAlignment="1">
      <alignment vertical="center"/>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20" fillId="0" borderId="2" xfId="3" applyFont="1" applyFill="1" applyBorder="1" applyAlignment="1">
      <alignment horizontal="center" vertical="center"/>
    </xf>
    <xf numFmtId="0" fontId="20" fillId="0" borderId="1" xfId="3" applyFont="1" applyFill="1" applyBorder="1" applyAlignment="1">
      <alignment horizontal="center"/>
    </xf>
    <xf numFmtId="2" fontId="42" fillId="0" borderId="1" xfId="3" applyNumberFormat="1" applyFont="1" applyFill="1" applyBorder="1" applyAlignment="1">
      <alignment horizontal="center" vertical="center"/>
    </xf>
    <xf numFmtId="2" fontId="20" fillId="0" borderId="1" xfId="3" applyNumberFormat="1" applyFont="1" applyFill="1" applyBorder="1" applyAlignment="1">
      <alignment horizontal="center"/>
    </xf>
    <xf numFmtId="2" fontId="20" fillId="0" borderId="2" xfId="3" applyNumberFormat="1" applyFont="1" applyFill="1" applyBorder="1" applyAlignment="1">
      <alignment horizontal="center"/>
    </xf>
    <xf numFmtId="9" fontId="20" fillId="0" borderId="2" xfId="3" applyNumberFormat="1" applyFont="1" applyFill="1" applyBorder="1" applyAlignment="1">
      <alignment horizontal="center" vertical="center"/>
    </xf>
    <xf numFmtId="0" fontId="20" fillId="0" borderId="1" xfId="3" applyFont="1" applyFill="1" applyBorder="1" applyAlignment="1">
      <alignment horizontal="center" vertical="center" wrapText="1"/>
    </xf>
    <xf numFmtId="0" fontId="20" fillId="0" borderId="1" xfId="3" applyFont="1" applyFill="1" applyBorder="1" applyAlignment="1">
      <alignment horizontal="center" vertical="center"/>
    </xf>
    <xf numFmtId="0" fontId="41" fillId="0" borderId="2" xfId="3" applyFill="1" applyBorder="1" applyAlignment="1">
      <alignment horizontal="center" vertical="center"/>
    </xf>
    <xf numFmtId="2" fontId="36" fillId="0" borderId="1" xfId="3" applyNumberFormat="1" applyFont="1" applyFill="1" applyBorder="1" applyAlignment="1">
      <alignment horizontal="center" vertical="center"/>
    </xf>
    <xf numFmtId="2" fontId="20" fillId="0" borderId="2" xfId="3" applyNumberFormat="1" applyFont="1" applyFill="1" applyBorder="1" applyAlignment="1">
      <alignment horizontal="center" vertical="center"/>
    </xf>
    <xf numFmtId="2" fontId="20" fillId="0" borderId="1" xfId="3" applyNumberFormat="1" applyFont="1" applyFill="1" applyBorder="1" applyAlignment="1">
      <alignment horizontal="center" vertical="center"/>
    </xf>
    <xf numFmtId="0" fontId="20" fillId="0" borderId="1" xfId="3" applyFont="1" applyFill="1" applyBorder="1" applyAlignment="1">
      <alignment horizontal="center" vertical="center"/>
    </xf>
    <xf numFmtId="0" fontId="20" fillId="0" borderId="1" xfId="3" applyFont="1" applyFill="1" applyBorder="1" applyAlignment="1">
      <alignment horizontal="center"/>
    </xf>
    <xf numFmtId="2" fontId="36" fillId="0" borderId="0" xfId="3" applyNumberFormat="1" applyFont="1" applyFill="1" applyBorder="1" applyAlignment="1">
      <alignment vertical="center"/>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20" fillId="0" borderId="1" xfId="3" applyFont="1" applyBorder="1" applyAlignment="1">
      <alignment horizontal="center" vertical="center" wrapText="1"/>
    </xf>
    <xf numFmtId="0" fontId="20" fillId="0" borderId="1" xfId="3" applyNumberFormat="1" applyFont="1" applyFill="1" applyBorder="1" applyAlignment="1">
      <alignment horizontal="center" vertical="center" wrapText="1"/>
    </xf>
    <xf numFmtId="0" fontId="20" fillId="0" borderId="1" xfId="3" applyFont="1" applyBorder="1" applyAlignment="1">
      <alignment horizontal="center" vertical="center"/>
    </xf>
    <xf numFmtId="0" fontId="20" fillId="0" borderId="1" xfId="3" applyFont="1" applyFill="1" applyBorder="1" applyAlignment="1">
      <alignment horizontal="center" vertical="center" wrapText="1"/>
    </xf>
    <xf numFmtId="0" fontId="20" fillId="0" borderId="1" xfId="3" applyFont="1" applyFill="1" applyBorder="1" applyAlignment="1">
      <alignment horizontal="center" wrapText="1"/>
    </xf>
    <xf numFmtId="0" fontId="20" fillId="0" borderId="1" xfId="3" applyFont="1" applyFill="1" applyBorder="1" applyAlignment="1">
      <alignment horizontal="center" vertical="center"/>
    </xf>
    <xf numFmtId="0" fontId="36" fillId="0" borderId="1" xfId="3" applyNumberFormat="1" applyFont="1" applyFill="1" applyBorder="1" applyAlignment="1">
      <alignment horizontal="left" vertical="center" wrapText="1"/>
    </xf>
    <xf numFmtId="0" fontId="20" fillId="0" borderId="1" xfId="3" applyFont="1" applyFill="1" applyBorder="1" applyAlignment="1">
      <alignment horizontal="center" vertical="top" wrapText="1"/>
    </xf>
    <xf numFmtId="0" fontId="20" fillId="0" borderId="2" xfId="3" applyFont="1" applyFill="1" applyBorder="1" applyAlignment="1">
      <alignment horizontal="center" vertical="top" wrapText="1"/>
    </xf>
    <xf numFmtId="0" fontId="20" fillId="0" borderId="1" xfId="3" applyFont="1" applyFill="1" applyBorder="1" applyAlignment="1">
      <alignment horizontal="center"/>
    </xf>
    <xf numFmtId="0" fontId="36" fillId="0" borderId="0" xfId="3" applyNumberFormat="1" applyFont="1" applyFill="1" applyBorder="1" applyAlignment="1">
      <alignment horizontal="center"/>
    </xf>
    <xf numFmtId="4" fontId="20" fillId="0" borderId="0" xfId="3" applyNumberFormat="1" applyFont="1" applyFill="1" applyBorder="1" applyAlignment="1">
      <alignment horizontal="center"/>
    </xf>
    <xf numFmtId="0" fontId="20" fillId="0" borderId="1" xfId="3" applyNumberFormat="1" applyFont="1" applyFill="1" applyBorder="1" applyAlignment="1">
      <alignment wrapText="1"/>
    </xf>
    <xf numFmtId="4" fontId="14" fillId="2" borderId="1" xfId="0" applyNumberFormat="1" applyFont="1" applyFill="1" applyBorder="1" applyAlignment="1">
      <alignment horizontal="center" vertical="center"/>
    </xf>
    <xf numFmtId="0" fontId="20" fillId="0" borderId="1" xfId="3" applyNumberFormat="1" applyFont="1" applyFill="1" applyBorder="1" applyAlignment="1">
      <alignment horizontal="center" vertical="center" wrapText="1"/>
    </xf>
    <xf numFmtId="0" fontId="20" fillId="0" borderId="1" xfId="3" applyFont="1" applyFill="1" applyBorder="1" applyAlignment="1">
      <alignment horizontal="center" wrapText="1"/>
    </xf>
    <xf numFmtId="0" fontId="36" fillId="0" borderId="2" xfId="3" applyNumberFormat="1" applyFont="1" applyFill="1" applyBorder="1" applyAlignment="1">
      <alignment horizontal="left" vertical="center" wrapText="1"/>
    </xf>
    <xf numFmtId="4" fontId="14" fillId="2" borderId="0" xfId="0" applyNumberFormat="1" applyFont="1" applyFill="1" applyBorder="1" applyAlignment="1">
      <alignment horizontal="center" vertical="center"/>
    </xf>
    <xf numFmtId="0" fontId="11" fillId="0" borderId="0" xfId="0" applyFont="1" applyAlignment="1">
      <alignment horizontal="center" vertical="center"/>
    </xf>
    <xf numFmtId="0" fontId="3" fillId="0" borderId="11"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xf>
    <xf numFmtId="0" fontId="7" fillId="0" borderId="1"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0" fillId="0" borderId="3" xfId="0" applyBorder="1"/>
    <xf numFmtId="0" fontId="7" fillId="0" borderId="0" xfId="0" applyFont="1" applyAlignment="1">
      <alignment horizontal="right"/>
    </xf>
    <xf numFmtId="0" fontId="7" fillId="0" borderId="14" xfId="0" applyFont="1" applyBorder="1" applyAlignment="1">
      <alignment horizontal="right"/>
    </xf>
    <xf numFmtId="0" fontId="13" fillId="0" borderId="0" xfId="0" applyFont="1" applyFill="1" applyAlignment="1">
      <alignment horizontal="left" wrapText="1"/>
    </xf>
    <xf numFmtId="0" fontId="13" fillId="0" borderId="0" xfId="0" applyFont="1" applyFill="1" applyAlignment="1">
      <alignment horizontal="center" wrapText="1"/>
    </xf>
    <xf numFmtId="0" fontId="13" fillId="0" borderId="0" xfId="0" applyFont="1" applyFill="1" applyAlignment="1">
      <alignment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7" fillId="0" borderId="0" xfId="0" applyFont="1" applyAlignment="1">
      <alignment horizontal="left" vertical="center" wrapText="1"/>
    </xf>
    <xf numFmtId="0" fontId="7" fillId="0" borderId="11" xfId="0" applyFont="1" applyBorder="1" applyAlignment="1">
      <alignment horizontal="center"/>
    </xf>
    <xf numFmtId="0" fontId="8" fillId="0" borderId="11" xfId="0" applyFont="1" applyBorder="1" applyAlignment="1">
      <alignment horizontal="center" vertical="center"/>
    </xf>
    <xf numFmtId="4" fontId="8"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horizontal="left" vertical="center"/>
    </xf>
    <xf numFmtId="0" fontId="7" fillId="0" borderId="1" xfId="0" applyFont="1" applyBorder="1" applyAlignment="1">
      <alignment horizontal="left" vertical="center" wrapText="1"/>
    </xf>
    <xf numFmtId="4" fontId="7" fillId="0" borderId="1" xfId="0" applyNumberFormat="1" applyFont="1" applyBorder="1" applyAlignment="1">
      <alignment horizontal="center" vertical="center" wrapText="1"/>
    </xf>
    <xf numFmtId="0" fontId="8" fillId="0" borderId="11" xfId="3" applyFont="1" applyFill="1" applyBorder="1" applyAlignment="1">
      <alignment horizontal="center"/>
    </xf>
    <xf numFmtId="0" fontId="8" fillId="0" borderId="8" xfId="3" applyFont="1" applyFill="1" applyBorder="1" applyAlignment="1">
      <alignment horizontal="center" vertical="center"/>
    </xf>
    <xf numFmtId="0" fontId="8" fillId="0" borderId="0" xfId="3" applyFont="1" applyFill="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28" fillId="0" borderId="0" xfId="0" applyFont="1" applyBorder="1" applyAlignment="1">
      <alignment vertical="center" wrapText="1"/>
    </xf>
    <xf numFmtId="0" fontId="8" fillId="0" borderId="0" xfId="0" applyFont="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2" fontId="7" fillId="0" borderId="2"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2" fontId="7" fillId="0" borderId="1" xfId="0" applyNumberFormat="1" applyFont="1" applyBorder="1" applyAlignment="1">
      <alignment horizontal="center" vertical="top" wrapText="1"/>
    </xf>
    <xf numFmtId="4" fontId="7"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4" fontId="7" fillId="0" borderId="2" xfId="0" applyNumberFormat="1" applyFont="1" applyBorder="1" applyAlignment="1">
      <alignment horizontal="center" vertical="top" wrapText="1"/>
    </xf>
    <xf numFmtId="4" fontId="7"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2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3" fillId="0" borderId="8" xfId="0" applyFont="1" applyBorder="1" applyAlignment="1">
      <alignment horizontal="lef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28" fillId="0" borderId="0" xfId="0" applyFont="1" applyAlignment="1">
      <alignment vertical="center" wrapText="1"/>
    </xf>
    <xf numFmtId="0" fontId="51" fillId="0" borderId="4"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5" xfId="0" applyFont="1" applyBorder="1" applyAlignment="1">
      <alignment horizontal="center"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1" fillId="0" borderId="1" xfId="0" applyFont="1" applyBorder="1" applyAlignment="1">
      <alignment horizontal="center" vertical="center" wrapText="1"/>
    </xf>
    <xf numFmtId="0" fontId="8" fillId="0" borderId="11" xfId="0" applyFont="1" applyBorder="1" applyAlignment="1">
      <alignment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3" xfId="0" applyFont="1" applyBorder="1" applyAlignment="1">
      <alignment horizontal="left" vertical="center" wrapText="1"/>
    </xf>
    <xf numFmtId="0" fontId="9" fillId="0" borderId="0" xfId="0" applyFont="1" applyAlignment="1">
      <alignment horizontal="left" vertical="center" wrapText="1"/>
    </xf>
    <xf numFmtId="0" fontId="20" fillId="0" borderId="1" xfId="0" applyFont="1" applyBorder="1" applyAlignment="1">
      <alignment horizontal="center" vertical="center" wrapText="1"/>
    </xf>
    <xf numFmtId="4" fontId="36" fillId="0" borderId="1"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0" fontId="7" fillId="0" borderId="2" xfId="0" applyFont="1" applyBorder="1" applyAlignment="1">
      <alignment vertical="center" wrapText="1"/>
    </xf>
    <xf numFmtId="0" fontId="7" fillId="0" borderId="9" xfId="0" applyFont="1" applyBorder="1" applyAlignment="1">
      <alignment vertical="center" wrapText="1"/>
    </xf>
    <xf numFmtId="0" fontId="7" fillId="0" borderId="3" xfId="0" applyFont="1" applyBorder="1" applyAlignment="1">
      <alignment vertical="center" wrapText="1"/>
    </xf>
    <xf numFmtId="0" fontId="22" fillId="0" borderId="0" xfId="0" applyFont="1" applyAlignment="1">
      <alignment horizontal="left" vertical="center"/>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 xfId="0" applyFont="1" applyBorder="1" applyAlignment="1">
      <alignment horizontal="center" vertical="center" wrapText="1"/>
    </xf>
    <xf numFmtId="9" fontId="20" fillId="0" borderId="2" xfId="0" applyNumberFormat="1" applyFont="1" applyBorder="1" applyAlignment="1">
      <alignment horizontal="center" vertical="center" wrapText="1"/>
    </xf>
    <xf numFmtId="9" fontId="20" fillId="0" borderId="3" xfId="0" applyNumberFormat="1" applyFont="1" applyBorder="1" applyAlignment="1">
      <alignment horizontal="center" vertical="center" wrapText="1"/>
    </xf>
    <xf numFmtId="0" fontId="36" fillId="0" borderId="7"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5" xfId="0" applyFont="1" applyBorder="1" applyAlignment="1">
      <alignment horizontal="center" vertical="center" wrapText="1"/>
    </xf>
    <xf numFmtId="0" fontId="42" fillId="0" borderId="1" xfId="14" applyNumberFormat="1" applyFont="1" applyFill="1" applyBorder="1" applyAlignment="1">
      <alignment horizontal="justify" vertical="center" wrapText="1"/>
    </xf>
    <xf numFmtId="0" fontId="9" fillId="0" borderId="0" xfId="14" applyFont="1" applyAlignment="1">
      <alignment horizontal="center" vertical="center" wrapText="1"/>
    </xf>
    <xf numFmtId="0" fontId="1" fillId="0" borderId="0" xfId="14" applyAlignment="1">
      <alignment vertical="center" wrapText="1"/>
    </xf>
    <xf numFmtId="0" fontId="8" fillId="0" borderId="0" xfId="14" applyFont="1" applyAlignment="1">
      <alignment horizontal="left" vertical="center" wrapText="1"/>
    </xf>
    <xf numFmtId="0" fontId="8" fillId="0" borderId="11" xfId="14" applyFont="1" applyBorder="1" applyAlignment="1">
      <alignment horizontal="center" wrapText="1"/>
    </xf>
    <xf numFmtId="0" fontId="8" fillId="0" borderId="0" xfId="14" applyFont="1" applyBorder="1" applyAlignment="1">
      <alignment vertical="center" wrapText="1"/>
    </xf>
    <xf numFmtId="0" fontId="1" fillId="0" borderId="0" xfId="14" applyFont="1" applyBorder="1" applyAlignment="1">
      <alignment vertical="center" wrapText="1"/>
    </xf>
    <xf numFmtId="0" fontId="8" fillId="0" borderId="2" xfId="14" applyFont="1" applyBorder="1" applyAlignment="1">
      <alignment horizontal="center" vertical="center" wrapText="1"/>
    </xf>
    <xf numFmtId="0" fontId="8" fillId="0" borderId="3" xfId="14" applyFont="1" applyBorder="1" applyAlignment="1">
      <alignment horizontal="center" vertical="center" wrapText="1"/>
    </xf>
    <xf numFmtId="49" fontId="8" fillId="0" borderId="4" xfId="14" applyNumberFormat="1" applyFont="1" applyBorder="1" applyAlignment="1">
      <alignment horizontal="center" vertical="center"/>
    </xf>
    <xf numFmtId="49" fontId="8" fillId="0" borderId="5" xfId="14" applyNumberFormat="1" applyFont="1" applyBorder="1" applyAlignment="1">
      <alignment horizontal="center" vertical="center"/>
    </xf>
    <xf numFmtId="0" fontId="20" fillId="0" borderId="4" xfId="14" applyNumberFormat="1" applyFont="1" applyFill="1" applyBorder="1" applyAlignment="1">
      <alignment horizontal="left" vertical="center" wrapText="1"/>
    </xf>
    <xf numFmtId="0" fontId="20" fillId="0" borderId="5" xfId="14" applyNumberFormat="1" applyFont="1" applyFill="1" applyBorder="1" applyAlignment="1">
      <alignment horizontal="left" vertical="center" wrapText="1"/>
    </xf>
    <xf numFmtId="0" fontId="8" fillId="0" borderId="4" xfId="14" applyFont="1" applyFill="1" applyBorder="1" applyAlignment="1">
      <alignment horizontal="center" vertical="center"/>
    </xf>
    <xf numFmtId="0" fontId="8" fillId="0" borderId="5" xfId="14" applyFont="1" applyFill="1" applyBorder="1" applyAlignment="1">
      <alignment horizontal="center" vertical="center"/>
    </xf>
    <xf numFmtId="0" fontId="8" fillId="0" borderId="4" xfId="14" applyFont="1" applyBorder="1" applyAlignment="1">
      <alignment horizontal="left" vertical="center" wrapText="1"/>
    </xf>
    <xf numFmtId="0" fontId="8" fillId="0" borderId="5" xfId="14" applyFont="1" applyBorder="1" applyAlignment="1">
      <alignment horizontal="left" vertical="center" wrapText="1"/>
    </xf>
    <xf numFmtId="0" fontId="8" fillId="0" borderId="2" xfId="14" applyFont="1" applyBorder="1" applyAlignment="1">
      <alignment vertical="center"/>
    </xf>
    <xf numFmtId="0" fontId="8" fillId="0" borderId="3" xfId="14" applyFont="1" applyBorder="1" applyAlignment="1">
      <alignment vertical="center"/>
    </xf>
    <xf numFmtId="49" fontId="8" fillId="0" borderId="7" xfId="14" applyNumberFormat="1" applyFont="1" applyBorder="1" applyAlignment="1">
      <alignment horizontal="center" vertical="center"/>
    </xf>
    <xf numFmtId="49" fontId="8" fillId="0" borderId="12" xfId="14" applyNumberFormat="1" applyFont="1" applyBorder="1" applyAlignment="1">
      <alignment horizontal="center" vertical="center"/>
    </xf>
    <xf numFmtId="0" fontId="20" fillId="0" borderId="1" xfId="14" applyNumberFormat="1" applyFont="1" applyFill="1" applyBorder="1" applyAlignment="1">
      <alignment horizontal="left" vertical="center" wrapText="1"/>
    </xf>
    <xf numFmtId="49" fontId="9" fillId="0" borderId="2" xfId="14" applyNumberFormat="1" applyFont="1" applyBorder="1" applyAlignment="1">
      <alignment horizontal="center" vertical="center"/>
    </xf>
    <xf numFmtId="49" fontId="9" fillId="0" borderId="9" xfId="14" applyNumberFormat="1" applyFont="1" applyBorder="1" applyAlignment="1">
      <alignment horizontal="center" vertical="center"/>
    </xf>
    <xf numFmtId="49" fontId="9" fillId="0" borderId="3" xfId="14" applyNumberFormat="1" applyFont="1" applyBorder="1" applyAlignment="1">
      <alignment horizontal="center" vertical="center"/>
    </xf>
    <xf numFmtId="4" fontId="8" fillId="0" borderId="2" xfId="14" applyNumberFormat="1" applyFont="1" applyBorder="1" applyAlignment="1">
      <alignment horizontal="center" vertical="center"/>
    </xf>
    <xf numFmtId="4" fontId="8" fillId="0" borderId="3" xfId="14" applyNumberFormat="1" applyFont="1" applyBorder="1" applyAlignment="1">
      <alignment horizontal="center" vertical="center"/>
    </xf>
    <xf numFmtId="0" fontId="42" fillId="0" borderId="2" xfId="14" applyNumberFormat="1" applyFont="1" applyFill="1" applyBorder="1" applyAlignment="1">
      <alignment horizontal="justify" vertical="center" wrapText="1"/>
    </xf>
    <xf numFmtId="0" fontId="42" fillId="0" borderId="3" xfId="14" applyNumberFormat="1" applyFont="1" applyFill="1" applyBorder="1" applyAlignment="1">
      <alignment horizontal="justify" vertical="center" wrapText="1"/>
    </xf>
    <xf numFmtId="0" fontId="8" fillId="0" borderId="2" xfId="14" applyFont="1" applyFill="1" applyBorder="1" applyAlignment="1">
      <alignment vertical="center"/>
    </xf>
    <xf numFmtId="0" fontId="8" fillId="0" borderId="3" xfId="14" applyFont="1" applyFill="1" applyBorder="1" applyAlignment="1">
      <alignment vertical="center"/>
    </xf>
    <xf numFmtId="0" fontId="8" fillId="0" borderId="1" xfId="14" applyFont="1" applyFill="1" applyBorder="1" applyAlignment="1">
      <alignment vertical="center"/>
    </xf>
    <xf numFmtId="49" fontId="9" fillId="0" borderId="1" xfId="14" applyNumberFormat="1" applyFont="1" applyBorder="1" applyAlignment="1">
      <alignment horizontal="center" vertical="center"/>
    </xf>
    <xf numFmtId="0" fontId="9" fillId="0" borderId="2" xfId="14" applyFont="1" applyBorder="1" applyAlignment="1">
      <alignment horizontal="center" vertical="center"/>
    </xf>
    <xf numFmtId="0" fontId="9" fillId="0" borderId="3" xfId="14" applyFont="1" applyBorder="1" applyAlignment="1">
      <alignment horizontal="center" vertical="center"/>
    </xf>
    <xf numFmtId="0" fontId="8" fillId="0" borderId="1" xfId="14" applyFont="1" applyBorder="1" applyAlignment="1">
      <alignment horizontal="center" vertical="center" wrapText="1"/>
    </xf>
    <xf numFmtId="4" fontId="8" fillId="0" borderId="1" xfId="14" applyNumberFormat="1" applyFont="1" applyBorder="1" applyAlignment="1">
      <alignment horizontal="center" vertical="center"/>
    </xf>
    <xf numFmtId="4" fontId="8" fillId="0" borderId="1" xfId="14" applyNumberFormat="1" applyFont="1" applyFill="1" applyBorder="1" applyAlignment="1">
      <alignment horizontal="center" vertical="center"/>
    </xf>
    <xf numFmtId="4" fontId="9" fillId="0" borderId="1" xfId="14" applyNumberFormat="1" applyFont="1" applyBorder="1" applyAlignment="1">
      <alignment horizontal="center" vertical="center"/>
    </xf>
    <xf numFmtId="0" fontId="20" fillId="0" borderId="1" xfId="3" applyFont="1" applyBorder="1" applyAlignment="1">
      <alignment horizontal="center" vertical="center" wrapText="1"/>
    </xf>
    <xf numFmtId="0" fontId="20" fillId="0" borderId="1" xfId="3" applyFont="1" applyBorder="1" applyAlignment="1">
      <alignment horizontal="left" vertical="center"/>
    </xf>
    <xf numFmtId="0" fontId="42" fillId="0" borderId="2" xfId="3" applyFont="1" applyBorder="1" applyAlignment="1">
      <alignment horizontal="left" vertical="center"/>
    </xf>
    <xf numFmtId="0" fontId="42" fillId="0" borderId="9" xfId="3" applyFont="1" applyBorder="1" applyAlignment="1">
      <alignment horizontal="left" vertical="center"/>
    </xf>
    <xf numFmtId="0" fontId="42" fillId="0" borderId="3" xfId="3" applyFont="1" applyBorder="1" applyAlignment="1">
      <alignment horizontal="left" vertical="center"/>
    </xf>
    <xf numFmtId="0" fontId="8" fillId="0" borderId="2" xfId="14" applyFont="1" applyBorder="1" applyAlignment="1">
      <alignment horizontal="center" vertical="center"/>
    </xf>
    <xf numFmtId="0" fontId="8" fillId="0" borderId="3" xfId="14" applyFont="1" applyBorder="1" applyAlignment="1">
      <alignment horizontal="center" vertical="center"/>
    </xf>
    <xf numFmtId="0" fontId="8" fillId="0" borderId="0" xfId="14" applyFont="1" applyAlignment="1">
      <alignment horizontal="right" vertical="center" wrapText="1"/>
    </xf>
    <xf numFmtId="49" fontId="9" fillId="0" borderId="0" xfId="14" applyNumberFormat="1" applyFont="1" applyBorder="1" applyAlignment="1">
      <alignment horizontal="left" vertical="center"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2" xfId="14" applyFont="1" applyBorder="1" applyAlignment="1">
      <alignment horizontal="left" vertical="center"/>
    </xf>
    <xf numFmtId="0" fontId="8" fillId="0" borderId="3" xfId="14" applyFont="1" applyBorder="1" applyAlignment="1">
      <alignment horizontal="left" vertical="center"/>
    </xf>
    <xf numFmtId="0" fontId="8" fillId="0" borderId="2" xfId="14" applyFont="1" applyBorder="1" applyAlignment="1">
      <alignment horizontal="left" vertical="center" wrapText="1"/>
    </xf>
    <xf numFmtId="0" fontId="8" fillId="0" borderId="3" xfId="14" applyFont="1" applyBorder="1" applyAlignment="1">
      <alignment horizontal="left" vertical="center" wrapText="1"/>
    </xf>
    <xf numFmtId="0" fontId="8" fillId="0" borderId="1" xfId="14" applyFont="1" applyBorder="1" applyAlignment="1">
      <alignment horizontal="left" vertical="center" wrapText="1"/>
    </xf>
    <xf numFmtId="0" fontId="42" fillId="0" borderId="2" xfId="3" applyFont="1" applyBorder="1" applyAlignment="1">
      <alignment horizontal="center" vertical="center"/>
    </xf>
    <xf numFmtId="0" fontId="42" fillId="0" borderId="9" xfId="3" applyFont="1" applyBorder="1" applyAlignment="1">
      <alignment horizontal="center" vertical="center"/>
    </xf>
    <xf numFmtId="0" fontId="8" fillId="0" borderId="1" xfId="2" applyFont="1" applyBorder="1" applyAlignment="1">
      <alignment horizontal="center" vertical="center" wrapText="1"/>
    </xf>
    <xf numFmtId="0" fontId="9" fillId="0" borderId="0" xfId="2" applyFont="1" applyAlignment="1">
      <alignment horizontal="center" vertical="center" wrapText="1"/>
    </xf>
    <xf numFmtId="0" fontId="2" fillId="0" borderId="0" xfId="2" applyAlignment="1">
      <alignment vertical="center" wrapText="1"/>
    </xf>
    <xf numFmtId="0" fontId="8" fillId="0" borderId="0" xfId="2" applyFont="1" applyAlignment="1">
      <alignment horizontal="left" vertical="center" wrapText="1"/>
    </xf>
    <xf numFmtId="49" fontId="9" fillId="0" borderId="0" xfId="2" applyNumberFormat="1" applyFont="1" applyBorder="1" applyAlignment="1">
      <alignment horizontal="left" vertical="center" wrapText="1"/>
    </xf>
    <xf numFmtId="0" fontId="8" fillId="0" borderId="0" xfId="2" applyFont="1" applyBorder="1" applyAlignment="1">
      <alignment vertical="center" wrapText="1"/>
    </xf>
    <xf numFmtId="49" fontId="8" fillId="0" borderId="1" xfId="2" applyNumberFormat="1" applyFont="1" applyBorder="1" applyAlignment="1">
      <alignment horizontal="center" vertical="center" wrapText="1"/>
    </xf>
    <xf numFmtId="0" fontId="8" fillId="0" borderId="2" xfId="2" applyFont="1" applyBorder="1" applyAlignment="1">
      <alignment horizontal="center" vertical="center" wrapText="1"/>
    </xf>
    <xf numFmtId="0" fontId="8" fillId="0" borderId="9" xfId="2" applyFont="1" applyBorder="1" applyAlignment="1">
      <alignment horizontal="center" vertical="center" wrapText="1"/>
    </xf>
    <xf numFmtId="0" fontId="8" fillId="0" borderId="3" xfId="2" applyFont="1" applyBorder="1" applyAlignment="1">
      <alignment horizontal="center" vertical="center" wrapText="1"/>
    </xf>
    <xf numFmtId="0" fontId="8" fillId="0" borderId="1" xfId="2" applyFont="1" applyBorder="1" applyAlignment="1">
      <alignment horizontal="center" vertical="center"/>
    </xf>
    <xf numFmtId="49" fontId="9" fillId="0" borderId="1" xfId="2" applyNumberFormat="1" applyFont="1" applyBorder="1" applyAlignment="1">
      <alignment horizontal="center" vertical="center"/>
    </xf>
    <xf numFmtId="0" fontId="42" fillId="0" borderId="0" xfId="3" applyFont="1" applyFill="1" applyBorder="1" applyAlignment="1">
      <alignment horizontal="center"/>
    </xf>
    <xf numFmtId="0" fontId="20" fillId="0" borderId="7" xfId="3" applyFont="1" applyFill="1" applyBorder="1" applyAlignment="1">
      <alignment horizontal="center" vertical="top"/>
    </xf>
    <xf numFmtId="0" fontId="20" fillId="0" borderId="12" xfId="3" applyFont="1" applyFill="1" applyBorder="1" applyAlignment="1">
      <alignment horizontal="center" vertical="top"/>
    </xf>
    <xf numFmtId="0" fontId="20" fillId="0" borderId="1" xfId="3" applyNumberFormat="1" applyFont="1" applyFill="1" applyBorder="1" applyAlignment="1">
      <alignment horizontal="center" vertical="center" wrapText="1"/>
    </xf>
    <xf numFmtId="0" fontId="20" fillId="0" borderId="4" xfId="3" applyFont="1" applyFill="1" applyBorder="1" applyAlignment="1">
      <alignment horizontal="center" vertical="center" wrapText="1"/>
    </xf>
    <xf numFmtId="0" fontId="20" fillId="0" borderId="5" xfId="3" applyFont="1" applyFill="1" applyBorder="1" applyAlignment="1">
      <alignment horizontal="center" vertical="center" wrapText="1"/>
    </xf>
    <xf numFmtId="0" fontId="9" fillId="0" borderId="0" xfId="0" applyFont="1" applyFill="1" applyAlignment="1">
      <alignment horizontal="lef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vertical="center" wrapText="1"/>
    </xf>
    <xf numFmtId="0" fontId="22" fillId="0" borderId="0" xfId="0" applyFont="1" applyAlignment="1">
      <alignment horizontal="center" vertical="center"/>
    </xf>
    <xf numFmtId="0" fontId="37" fillId="0" borderId="0" xfId="0" applyFont="1" applyAlignment="1">
      <alignment horizontal="left" vertical="center" wrapText="1"/>
    </xf>
    <xf numFmtId="0" fontId="38" fillId="0" borderId="0" xfId="1" applyFont="1" applyAlignment="1">
      <alignment horizontal="left" vertical="center" wrapText="1"/>
    </xf>
    <xf numFmtId="0" fontId="9" fillId="0" borderId="0" xfId="0" applyFont="1" applyAlignment="1">
      <alignment vertical="center"/>
    </xf>
    <xf numFmtId="0" fontId="8" fillId="0" borderId="0" xfId="0" applyFont="1" applyAlignment="1">
      <alignment vertical="center"/>
    </xf>
    <xf numFmtId="0" fontId="7" fillId="0" borderId="9" xfId="0" applyFont="1" applyBorder="1" applyAlignment="1">
      <alignment horizontal="center" vertical="center" wrapText="1"/>
    </xf>
    <xf numFmtId="49" fontId="20" fillId="0" borderId="2" xfId="3" applyNumberFormat="1" applyFont="1" applyFill="1" applyBorder="1" applyAlignment="1">
      <alignment horizontal="left"/>
    </xf>
    <xf numFmtId="49" fontId="20" fillId="0" borderId="3" xfId="3" applyNumberFormat="1" applyFont="1" applyFill="1" applyBorder="1" applyAlignment="1">
      <alignment horizontal="left"/>
    </xf>
    <xf numFmtId="0" fontId="20" fillId="0" borderId="0" xfId="3" applyFont="1" applyFill="1" applyAlignment="1">
      <alignment horizontal="left"/>
    </xf>
    <xf numFmtId="0" fontId="45" fillId="0" borderId="0" xfId="3" applyFont="1" applyFill="1" applyAlignment="1">
      <alignment horizontal="center" vertical="center" wrapText="1"/>
    </xf>
    <xf numFmtId="0" fontId="8" fillId="0" borderId="0" xfId="18" applyFont="1" applyFill="1" applyBorder="1" applyAlignment="1">
      <alignment horizontal="center" vertical="center" wrapText="1"/>
    </xf>
    <xf numFmtId="0" fontId="42" fillId="0" borderId="0" xfId="3" applyNumberFormat="1" applyFont="1" applyFill="1" applyBorder="1" applyAlignment="1">
      <alignment horizontal="center"/>
    </xf>
    <xf numFmtId="0" fontId="20" fillId="0" borderId="1" xfId="3" applyFont="1" applyFill="1" applyBorder="1" applyAlignment="1">
      <alignment horizontal="center" vertical="center"/>
    </xf>
    <xf numFmtId="0" fontId="36" fillId="0" borderId="4" xfId="3" applyNumberFormat="1" applyFont="1" applyFill="1" applyBorder="1" applyAlignment="1">
      <alignment horizontal="center" vertical="center" wrapText="1"/>
    </xf>
    <xf numFmtId="0" fontId="36" fillId="0" borderId="6" xfId="3" applyNumberFormat="1" applyFont="1" applyFill="1" applyBorder="1" applyAlignment="1">
      <alignment horizontal="center" vertical="center" wrapText="1"/>
    </xf>
    <xf numFmtId="0" fontId="36" fillId="0" borderId="5" xfId="3" applyNumberFormat="1" applyFont="1" applyFill="1" applyBorder="1" applyAlignment="1">
      <alignment horizontal="center" vertical="center" wrapText="1"/>
    </xf>
    <xf numFmtId="0" fontId="36" fillId="0" borderId="2" xfId="3" applyNumberFormat="1" applyFont="1" applyFill="1" applyBorder="1" applyAlignment="1">
      <alignment horizontal="center" vertical="center" wrapText="1"/>
    </xf>
    <xf numFmtId="0" fontId="36" fillId="0" borderId="9" xfId="3" applyNumberFormat="1" applyFont="1" applyFill="1" applyBorder="1" applyAlignment="1">
      <alignment horizontal="center" vertical="center" wrapText="1"/>
    </xf>
    <xf numFmtId="0" fontId="36" fillId="0" borderId="3" xfId="3" applyNumberFormat="1" applyFont="1" applyFill="1" applyBorder="1" applyAlignment="1">
      <alignment horizontal="center" vertical="center" wrapText="1"/>
    </xf>
    <xf numFmtId="0" fontId="42" fillId="0" borderId="0" xfId="3" applyFont="1" applyFill="1" applyAlignment="1">
      <alignment horizontal="left" wrapText="1"/>
    </xf>
    <xf numFmtId="0" fontId="20" fillId="0" borderId="4" xfId="3" applyFont="1" applyFill="1" applyBorder="1" applyAlignment="1">
      <alignment horizontal="center" vertical="center"/>
    </xf>
    <xf numFmtId="0" fontId="20" fillId="0" borderId="5" xfId="3" applyFont="1" applyFill="1" applyBorder="1" applyAlignment="1">
      <alignment horizontal="center" vertical="center"/>
    </xf>
    <xf numFmtId="0" fontId="20" fillId="0" borderId="2" xfId="3" applyFont="1" applyFill="1" applyBorder="1" applyAlignment="1">
      <alignment horizontal="center" vertical="center" wrapText="1"/>
    </xf>
    <xf numFmtId="0" fontId="20" fillId="0" borderId="9" xfId="3" applyFont="1" applyFill="1" applyBorder="1" applyAlignment="1">
      <alignment horizontal="center" vertical="center" wrapText="1"/>
    </xf>
    <xf numFmtId="0" fontId="20" fillId="0" borderId="3" xfId="3" applyFont="1" applyFill="1" applyBorder="1" applyAlignment="1">
      <alignment horizontal="center" vertical="center" wrapText="1"/>
    </xf>
    <xf numFmtId="0" fontId="36" fillId="0" borderId="1" xfId="3" applyFont="1" applyFill="1" applyBorder="1" applyAlignment="1">
      <alignment horizontal="center" vertical="center" wrapText="1"/>
    </xf>
    <xf numFmtId="0" fontId="9" fillId="0" borderId="2" xfId="3" applyFont="1" applyFill="1" applyBorder="1" applyAlignment="1">
      <alignment horizontal="left" vertical="top" wrapText="1"/>
    </xf>
    <xf numFmtId="0" fontId="9" fillId="0" borderId="3" xfId="3" applyFont="1" applyFill="1" applyBorder="1" applyAlignment="1">
      <alignment horizontal="left" vertical="top" wrapText="1"/>
    </xf>
    <xf numFmtId="0" fontId="8" fillId="0" borderId="0" xfId="18" applyFont="1" applyFill="1" applyBorder="1" applyAlignment="1">
      <alignment horizontal="justify" vertical="top" wrapText="1"/>
    </xf>
    <xf numFmtId="0" fontId="8" fillId="0" borderId="0" xfId="18" applyFont="1" applyFill="1" applyBorder="1" applyAlignment="1">
      <alignment horizontal="left" vertical="top" wrapText="1"/>
    </xf>
    <xf numFmtId="0" fontId="20" fillId="0" borderId="2" xfId="3" applyFont="1" applyFill="1" applyBorder="1" applyAlignment="1">
      <alignment horizontal="left"/>
    </xf>
    <xf numFmtId="0" fontId="20" fillId="0" borderId="3" xfId="3" applyFont="1" applyFill="1" applyBorder="1" applyAlignment="1">
      <alignment horizontal="left"/>
    </xf>
    <xf numFmtId="0" fontId="42" fillId="0" borderId="0" xfId="3" applyFont="1" applyFill="1" applyAlignment="1">
      <alignment horizontal="left" vertical="top" wrapText="1"/>
    </xf>
    <xf numFmtId="0" fontId="20" fillId="0" borderId="7" xfId="3" applyFont="1" applyFill="1" applyBorder="1" applyAlignment="1">
      <alignment horizontal="center" vertical="center"/>
    </xf>
    <xf numFmtId="0" fontId="20" fillId="0" borderId="12" xfId="3" applyFont="1" applyFill="1" applyBorder="1" applyAlignment="1">
      <alignment horizontal="center" vertical="center"/>
    </xf>
    <xf numFmtId="0" fontId="20" fillId="0" borderId="1" xfId="3" applyFont="1" applyFill="1" applyBorder="1" applyAlignment="1">
      <alignment horizontal="center" vertical="center" wrapText="1"/>
    </xf>
    <xf numFmtId="0" fontId="42" fillId="0" borderId="0" xfId="3" applyFont="1" applyFill="1" applyAlignment="1">
      <alignment horizontal="left"/>
    </xf>
    <xf numFmtId="0" fontId="36" fillId="0" borderId="2" xfId="3" applyFont="1" applyFill="1" applyBorder="1" applyAlignment="1">
      <alignment horizontal="left" vertical="top" wrapText="1"/>
    </xf>
    <xf numFmtId="0" fontId="36" fillId="0" borderId="9" xfId="3" applyFont="1" applyFill="1" applyBorder="1" applyAlignment="1">
      <alignment horizontal="left" vertical="top" wrapText="1"/>
    </xf>
    <xf numFmtId="0" fontId="36" fillId="0" borderId="3" xfId="3" applyFont="1" applyFill="1" applyBorder="1" applyAlignment="1">
      <alignment horizontal="left" vertical="top" wrapText="1"/>
    </xf>
    <xf numFmtId="0" fontId="36" fillId="0" borderId="2" xfId="3" applyFont="1" applyFill="1" applyBorder="1" applyAlignment="1">
      <alignment horizontal="left" vertical="center" wrapText="1"/>
    </xf>
    <xf numFmtId="0" fontId="36" fillId="0" borderId="9" xfId="3" applyFont="1" applyFill="1" applyBorder="1" applyAlignment="1">
      <alignment horizontal="left" vertical="center" wrapText="1"/>
    </xf>
    <xf numFmtId="0" fontId="36" fillId="0" borderId="3" xfId="3" applyFont="1" applyFill="1" applyBorder="1" applyAlignment="1">
      <alignment horizontal="left" vertical="center" wrapText="1"/>
    </xf>
    <xf numFmtId="0" fontId="20" fillId="0" borderId="1" xfId="3" applyFont="1" applyFill="1" applyBorder="1" applyAlignment="1">
      <alignment horizontal="center" wrapText="1"/>
    </xf>
    <xf numFmtId="0" fontId="47" fillId="0" borderId="1" xfId="3" applyNumberFormat="1" applyFont="1" applyFill="1" applyBorder="1" applyAlignment="1">
      <alignment horizontal="center" vertical="center"/>
    </xf>
    <xf numFmtId="0" fontId="20" fillId="0" borderId="2" xfId="3" applyNumberFormat="1" applyFont="1" applyFill="1" applyBorder="1" applyAlignment="1">
      <alignment horizontal="left" vertical="center" wrapText="1"/>
    </xf>
    <xf numFmtId="0" fontId="20" fillId="0" borderId="9" xfId="3" applyNumberFormat="1" applyFont="1" applyFill="1" applyBorder="1" applyAlignment="1">
      <alignment horizontal="left" vertical="center" wrapText="1"/>
    </xf>
    <xf numFmtId="0" fontId="20" fillId="0" borderId="3" xfId="3" applyNumberFormat="1" applyFont="1" applyFill="1" applyBorder="1" applyAlignment="1">
      <alignment horizontal="left" vertical="center" wrapText="1"/>
    </xf>
    <xf numFmtId="49" fontId="20" fillId="0" borderId="2" xfId="3" applyNumberFormat="1" applyFont="1" applyFill="1" applyBorder="1" applyAlignment="1">
      <alignment horizontal="left" vertical="center"/>
    </xf>
    <xf numFmtId="49" fontId="20" fillId="0" borderId="9" xfId="3" applyNumberFormat="1" applyFont="1" applyFill="1" applyBorder="1" applyAlignment="1">
      <alignment horizontal="left" vertical="center"/>
    </xf>
    <xf numFmtId="49" fontId="20" fillId="0" borderId="3" xfId="3" applyNumberFormat="1" applyFont="1" applyFill="1" applyBorder="1" applyAlignment="1">
      <alignment horizontal="left" vertical="center"/>
    </xf>
    <xf numFmtId="0" fontId="20" fillId="0" borderId="0" xfId="3" applyFont="1" applyFill="1" applyAlignment="1">
      <alignment horizontal="justify" vertical="center" wrapText="1"/>
    </xf>
    <xf numFmtId="0" fontId="20" fillId="0" borderId="1" xfId="3" applyFont="1" applyFill="1" applyBorder="1" applyAlignment="1">
      <alignment horizontal="left"/>
    </xf>
    <xf numFmtId="0" fontId="20" fillId="0" borderId="0" xfId="3" applyFont="1" applyFill="1" applyAlignment="1">
      <alignment horizontal="justify" wrapText="1"/>
    </xf>
    <xf numFmtId="0" fontId="20" fillId="0" borderId="0" xfId="3" applyNumberFormat="1" applyFont="1" applyFill="1" applyBorder="1" applyAlignment="1">
      <alignment horizontal="left" wrapText="1"/>
    </xf>
    <xf numFmtId="0" fontId="42" fillId="0" borderId="0" xfId="3" applyFont="1" applyFill="1" applyAlignment="1">
      <alignment horizontal="center"/>
    </xf>
    <xf numFmtId="0" fontId="36" fillId="0" borderId="1" xfId="3" applyFont="1" applyFill="1" applyBorder="1" applyAlignment="1">
      <alignment horizontal="center" vertical="center"/>
    </xf>
    <xf numFmtId="0" fontId="20" fillId="0" borderId="1" xfId="3" applyFont="1" applyFill="1" applyBorder="1" applyAlignment="1">
      <alignment horizontal="left" vertical="top"/>
    </xf>
    <xf numFmtId="2" fontId="20" fillId="0" borderId="1" xfId="3" applyNumberFormat="1" applyFont="1" applyFill="1" applyBorder="1" applyAlignment="1">
      <alignment horizontal="left" vertical="top" wrapText="1"/>
    </xf>
    <xf numFmtId="49" fontId="20" fillId="0" borderId="0" xfId="3" applyNumberFormat="1" applyFont="1" applyFill="1" applyBorder="1" applyAlignment="1">
      <alignment horizontal="justify" vertical="center" wrapText="1"/>
    </xf>
    <xf numFmtId="0" fontId="42" fillId="0" borderId="0" xfId="3" applyFont="1" applyFill="1" applyAlignment="1">
      <alignment horizontal="center" wrapText="1"/>
    </xf>
    <xf numFmtId="0" fontId="20" fillId="0" borderId="2" xfId="3" applyFont="1" applyFill="1" applyBorder="1" applyAlignment="1">
      <alignment horizontal="center"/>
    </xf>
    <xf numFmtId="0" fontId="20" fillId="0" borderId="9" xfId="3" applyFont="1" applyFill="1" applyBorder="1" applyAlignment="1">
      <alignment horizontal="center"/>
    </xf>
    <xf numFmtId="0" fontId="20" fillId="0" borderId="3" xfId="3" applyFont="1" applyFill="1" applyBorder="1" applyAlignment="1">
      <alignment horizontal="center"/>
    </xf>
    <xf numFmtId="49" fontId="20" fillId="0" borderId="9" xfId="3" applyNumberFormat="1" applyFont="1" applyFill="1" applyBorder="1" applyAlignment="1">
      <alignment horizontal="left"/>
    </xf>
    <xf numFmtId="0" fontId="20" fillId="0" borderId="0" xfId="3" applyFont="1" applyFill="1" applyBorder="1" applyAlignment="1">
      <alignment horizontal="justify" vertical="center" wrapText="1"/>
    </xf>
    <xf numFmtId="0" fontId="42" fillId="0" borderId="0" xfId="3" applyFont="1" applyFill="1" applyBorder="1" applyAlignment="1">
      <alignment horizontal="left" wrapText="1"/>
    </xf>
    <xf numFmtId="0" fontId="20" fillId="0" borderId="0" xfId="3" applyFont="1" applyFill="1" applyBorder="1" applyAlignment="1">
      <alignment horizontal="justify" vertical="center"/>
    </xf>
    <xf numFmtId="0" fontId="20" fillId="0" borderId="0" xfId="3" applyFont="1" applyFill="1" applyBorder="1" applyAlignment="1">
      <alignment horizontal="justify" wrapText="1"/>
    </xf>
    <xf numFmtId="0" fontId="20" fillId="0" borderId="2" xfId="3" applyFont="1" applyFill="1" applyBorder="1" applyAlignment="1">
      <alignment horizontal="center" vertical="center"/>
    </xf>
    <xf numFmtId="0" fontId="20" fillId="0" borderId="3"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15" xfId="3" applyFont="1" applyFill="1" applyBorder="1" applyAlignment="1">
      <alignment horizontal="center" vertical="center"/>
    </xf>
    <xf numFmtId="0" fontId="20" fillId="0" borderId="2" xfId="3" applyFont="1" applyFill="1" applyBorder="1" applyAlignment="1">
      <alignment horizontal="left" wrapText="1"/>
    </xf>
    <xf numFmtId="0" fontId="20" fillId="0" borderId="3" xfId="3" applyFont="1" applyFill="1" applyBorder="1" applyAlignment="1">
      <alignment horizontal="left" wrapText="1"/>
    </xf>
    <xf numFmtId="0" fontId="20" fillId="0" borderId="9" xfId="3" applyFont="1" applyFill="1" applyBorder="1" applyAlignment="1">
      <alignment horizontal="left"/>
    </xf>
    <xf numFmtId="0" fontId="42" fillId="0" borderId="1" xfId="3" applyFont="1" applyBorder="1" applyAlignment="1">
      <alignment horizontal="left" vertical="center"/>
    </xf>
    <xf numFmtId="0" fontId="20" fillId="0" borderId="1" xfId="3" applyFont="1" applyBorder="1" applyAlignment="1">
      <alignment horizontal="center" vertical="center"/>
    </xf>
    <xf numFmtId="0" fontId="36" fillId="0" borderId="1" xfId="3" applyNumberFormat="1" applyFont="1" applyFill="1" applyBorder="1" applyAlignment="1">
      <alignment horizontal="left" vertical="center" wrapText="1"/>
    </xf>
    <xf numFmtId="0" fontId="36" fillId="0" borderId="2" xfId="3" applyNumberFormat="1" applyFont="1" applyFill="1" applyBorder="1" applyAlignment="1">
      <alignment horizontal="left" vertical="center" wrapText="1"/>
    </xf>
    <xf numFmtId="0" fontId="36" fillId="0" borderId="9" xfId="3" applyNumberFormat="1" applyFont="1" applyFill="1" applyBorder="1" applyAlignment="1">
      <alignment horizontal="left" vertical="center" wrapText="1"/>
    </xf>
    <xf numFmtId="0" fontId="36" fillId="0" borderId="3" xfId="3" applyNumberFormat="1" applyFont="1" applyFill="1" applyBorder="1" applyAlignment="1">
      <alignment horizontal="left" vertical="center" wrapText="1"/>
    </xf>
    <xf numFmtId="0" fontId="20" fillId="0" borderId="9" xfId="3" applyFont="1" applyFill="1" applyBorder="1" applyAlignment="1">
      <alignment horizontal="center" vertical="center"/>
    </xf>
    <xf numFmtId="0" fontId="8" fillId="0" borderId="0" xfId="4" applyFont="1" applyFill="1" applyBorder="1" applyAlignment="1">
      <alignment horizontal="center" vertical="center" wrapText="1"/>
    </xf>
    <xf numFmtId="0" fontId="20" fillId="0" borderId="1" xfId="3" applyFont="1" applyFill="1" applyBorder="1" applyAlignment="1">
      <alignment horizontal="center"/>
    </xf>
    <xf numFmtId="0" fontId="20" fillId="0" borderId="10" xfId="3" applyFont="1" applyFill="1" applyBorder="1" applyAlignment="1">
      <alignment horizontal="center" vertical="top"/>
    </xf>
    <xf numFmtId="0" fontId="20" fillId="0" borderId="15" xfId="3" applyFont="1" applyFill="1" applyBorder="1" applyAlignment="1">
      <alignment horizontal="center" vertical="top"/>
    </xf>
    <xf numFmtId="0" fontId="20" fillId="0" borderId="4" xfId="3" applyFont="1" applyFill="1" applyBorder="1" applyAlignment="1">
      <alignment horizontal="center" vertical="top"/>
    </xf>
    <xf numFmtId="0" fontId="20" fillId="0" borderId="5" xfId="3" applyFont="1" applyFill="1" applyBorder="1" applyAlignment="1">
      <alignment horizontal="center" vertical="top"/>
    </xf>
    <xf numFmtId="0" fontId="20" fillId="0" borderId="4" xfId="3" applyFont="1" applyFill="1" applyBorder="1" applyAlignment="1">
      <alignment horizontal="center" vertical="top" wrapText="1"/>
    </xf>
    <xf numFmtId="0" fontId="20" fillId="0" borderId="5" xfId="3" applyFont="1" applyFill="1" applyBorder="1" applyAlignment="1">
      <alignment horizontal="center" vertical="top" wrapText="1"/>
    </xf>
    <xf numFmtId="0" fontId="20" fillId="0" borderId="2" xfId="3" applyFont="1" applyFill="1" applyBorder="1" applyAlignment="1">
      <alignment horizontal="center" vertical="top" wrapText="1"/>
    </xf>
    <xf numFmtId="0" fontId="20" fillId="0" borderId="9" xfId="3" applyFont="1" applyFill="1" applyBorder="1" applyAlignment="1">
      <alignment horizontal="center" vertical="top" wrapText="1"/>
    </xf>
    <xf numFmtId="0" fontId="20" fillId="0" borderId="3" xfId="3" applyFont="1" applyFill="1" applyBorder="1" applyAlignment="1">
      <alignment horizontal="center" vertical="top" wrapText="1"/>
    </xf>
    <xf numFmtId="0" fontId="20" fillId="0" borderId="1" xfId="3" applyFont="1" applyFill="1" applyBorder="1" applyAlignment="1">
      <alignment horizontal="center" vertical="top" wrapText="1"/>
    </xf>
    <xf numFmtId="0" fontId="20" fillId="0" borderId="1" xfId="3" applyFont="1" applyBorder="1" applyAlignment="1">
      <alignment horizontal="center" vertical="top"/>
    </xf>
    <xf numFmtId="0" fontId="9" fillId="0" borderId="0" xfId="0" applyFont="1" applyFill="1" applyAlignment="1">
      <alignment horizontal="center" vertical="center"/>
    </xf>
    <xf numFmtId="0" fontId="16" fillId="0" borderId="1" xfId="0" applyFont="1" applyFill="1" applyBorder="1" applyAlignment="1">
      <alignment vertical="center"/>
    </xf>
    <xf numFmtId="0" fontId="0" fillId="0" borderId="1" xfId="0" applyFill="1" applyBorder="1" applyAlignment="1">
      <alignment horizontal="center"/>
    </xf>
    <xf numFmtId="0" fontId="3" fillId="0" borderId="0" xfId="0" applyFont="1" applyFill="1" applyAlignment="1">
      <alignment horizontal="justify" vertical="center"/>
    </xf>
    <xf numFmtId="0" fontId="6" fillId="0" borderId="0" xfId="0" applyFont="1" applyFill="1"/>
    <xf numFmtId="0" fontId="6" fillId="0" borderId="0" xfId="0" applyFont="1" applyFill="1" applyAlignment="1">
      <alignment horizontal="center"/>
    </xf>
    <xf numFmtId="0" fontId="0" fillId="0" borderId="1" xfId="0" applyFill="1" applyBorder="1"/>
    <xf numFmtId="0" fontId="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4" fontId="0" fillId="0" borderId="1" xfId="0" applyNumberFormat="1" applyFill="1" applyBorder="1"/>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4" fontId="0" fillId="0" borderId="0" xfId="0" applyNumberFormat="1" applyFill="1"/>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wrapText="1"/>
    </xf>
    <xf numFmtId="0" fontId="17" fillId="0" borderId="0" xfId="0" applyFont="1" applyFill="1" applyAlignment="1">
      <alignment vertical="center"/>
    </xf>
    <xf numFmtId="0" fontId="15" fillId="0" borderId="0" xfId="0" applyFont="1" applyFill="1"/>
    <xf numFmtId="0" fontId="3" fillId="0" borderId="1" xfId="0" applyFont="1" applyFill="1" applyBorder="1" applyAlignment="1">
      <alignment vertical="center" wrapText="1"/>
    </xf>
    <xf numFmtId="4" fontId="15" fillId="0" borderId="0" xfId="0" applyNumberFormat="1" applyFont="1" applyFill="1"/>
    <xf numFmtId="0" fontId="14" fillId="0" borderId="4" xfId="0" applyFont="1" applyFill="1" applyBorder="1" applyAlignment="1">
      <alignment vertical="center" wrapText="1"/>
    </xf>
    <xf numFmtId="49" fontId="14" fillId="0" borderId="7"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xf>
    <xf numFmtId="4" fontId="14" fillId="0" borderId="4" xfId="0" applyNumberFormat="1" applyFont="1" applyFill="1" applyBorder="1" applyAlignment="1">
      <alignment horizontal="center" vertical="center" wrapText="1"/>
    </xf>
    <xf numFmtId="0" fontId="3" fillId="0" borderId="1" xfId="0" applyFont="1" applyFill="1" applyBorder="1" applyAlignment="1">
      <alignment horizontal="left" vertical="center" wrapText="1" indent="2"/>
    </xf>
    <xf numFmtId="0" fontId="3" fillId="0" borderId="1" xfId="0" applyFont="1" applyFill="1" applyBorder="1" applyAlignment="1">
      <alignment wrapText="1"/>
    </xf>
    <xf numFmtId="0" fontId="3" fillId="0" borderId="4" xfId="0" applyFont="1" applyFill="1" applyBorder="1" applyAlignment="1">
      <alignment horizontal="center" wrapText="1"/>
    </xf>
    <xf numFmtId="49" fontId="3" fillId="0" borderId="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0" fontId="3" fillId="0" borderId="2" xfId="0" applyFont="1" applyFill="1" applyBorder="1" applyAlignment="1">
      <alignment horizontal="left" vertical="center" wrapText="1" indent="4"/>
    </xf>
    <xf numFmtId="0" fontId="3" fillId="0" borderId="2"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xf>
    <xf numFmtId="4" fontId="3" fillId="0" borderId="3" xfId="0" applyNumberFormat="1" applyFont="1" applyFill="1" applyBorder="1" applyAlignment="1">
      <alignment horizontal="center" vertical="center" wrapText="1"/>
    </xf>
    <xf numFmtId="0" fontId="3" fillId="0" borderId="4" xfId="0" applyFont="1" applyFill="1" applyBorder="1" applyAlignment="1">
      <alignment horizontal="left" vertical="center" wrapText="1" indent="4"/>
    </xf>
    <xf numFmtId="4" fontId="3" fillId="0" borderId="5" xfId="0" applyNumberFormat="1" applyFont="1" applyFill="1" applyBorder="1" applyAlignment="1">
      <alignment horizontal="center" vertical="center"/>
    </xf>
    <xf numFmtId="4" fontId="3" fillId="0" borderId="5" xfId="0" applyNumberFormat="1" applyFont="1" applyFill="1" applyBorder="1" applyAlignment="1">
      <alignment horizontal="center" vertical="center" wrapText="1"/>
    </xf>
    <xf numFmtId="0" fontId="3" fillId="0" borderId="4" xfId="0" applyFont="1" applyFill="1" applyBorder="1" applyAlignment="1">
      <alignment horizontal="left" vertical="center" wrapText="1" indent="2"/>
    </xf>
    <xf numFmtId="0" fontId="3" fillId="0" borderId="4" xfId="0" applyFont="1" applyFill="1" applyBorder="1" applyAlignment="1">
      <alignment horizontal="center" vertical="center" wrapText="1"/>
    </xf>
    <xf numFmtId="4" fontId="3" fillId="0" borderId="4" xfId="0" applyNumberFormat="1" applyFont="1" applyFill="1" applyBorder="1" applyAlignment="1">
      <alignment horizontal="center" vertical="center"/>
    </xf>
    <xf numFmtId="0" fontId="3" fillId="0" borderId="2" xfId="0" applyFont="1" applyFill="1" applyBorder="1" applyAlignment="1">
      <alignment vertical="center" wrapText="1"/>
    </xf>
    <xf numFmtId="0" fontId="3" fillId="0" borderId="9" xfId="0" applyFont="1" applyFill="1" applyBorder="1" applyAlignment="1">
      <alignment vertical="center" wrapText="1"/>
    </xf>
    <xf numFmtId="4" fontId="3" fillId="0" borderId="3" xfId="0" applyNumberFormat="1" applyFont="1" applyFill="1" applyBorder="1" applyAlignment="1">
      <alignment vertical="center" wrapText="1"/>
    </xf>
    <xf numFmtId="4" fontId="14" fillId="0" borderId="5" xfId="0" applyNumberFormat="1" applyFont="1" applyFill="1" applyBorder="1" applyAlignment="1">
      <alignment horizontal="center" vertical="center"/>
    </xf>
    <xf numFmtId="4" fontId="3" fillId="0" borderId="5" xfId="0" applyNumberFormat="1" applyFont="1" applyFill="1" applyBorder="1" applyAlignment="1">
      <alignment vertical="center" wrapText="1"/>
    </xf>
    <xf numFmtId="0" fontId="3" fillId="0" borderId="2" xfId="0" applyFont="1" applyFill="1" applyBorder="1" applyAlignment="1">
      <alignment horizontal="left" vertical="center" wrapText="1" indent="6"/>
    </xf>
    <xf numFmtId="0" fontId="3" fillId="0" borderId="9" xfId="0" applyFont="1" applyFill="1" applyBorder="1" applyAlignment="1">
      <alignment horizontal="center" vertical="center" wrapText="1"/>
    </xf>
    <xf numFmtId="0" fontId="3" fillId="0" borderId="9" xfId="0" applyFont="1" applyFill="1" applyBorder="1" applyAlignment="1">
      <alignment vertical="top" wrapText="1"/>
    </xf>
    <xf numFmtId="4" fontId="3" fillId="0" borderId="5" xfId="0" applyNumberFormat="1" applyFont="1" applyFill="1" applyBorder="1" applyAlignment="1">
      <alignment vertical="center"/>
    </xf>
    <xf numFmtId="0" fontId="57" fillId="0" borderId="0" xfId="0" applyFont="1" applyFill="1" applyAlignment="1">
      <alignment vertical="center"/>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4" fillId="0" borderId="1" xfId="0" applyFont="1" applyFill="1" applyBorder="1" applyAlignment="1">
      <alignment horizontal="justify" vertical="center" wrapText="1"/>
    </xf>
    <xf numFmtId="49" fontId="14" fillId="0" borderId="1" xfId="0" applyNumberFormat="1" applyFont="1" applyFill="1" applyBorder="1" applyAlignment="1">
      <alignment horizontal="center" vertical="center" wrapText="1"/>
    </xf>
    <xf numFmtId="0" fontId="3" fillId="0" borderId="4"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vertical="center" wrapText="1"/>
    </xf>
    <xf numFmtId="0" fontId="16" fillId="0" borderId="0" xfId="0" applyFont="1" applyFill="1" applyBorder="1" applyAlignment="1">
      <alignment vertical="center"/>
    </xf>
    <xf numFmtId="0" fontId="0" fillId="0" borderId="0" xfId="0" applyFill="1" applyBorder="1"/>
    <xf numFmtId="0" fontId="3" fillId="0" borderId="3" xfId="0" applyFont="1" applyFill="1" applyBorder="1" applyAlignment="1">
      <alignment vertical="center" wrapText="1"/>
    </xf>
    <xf numFmtId="0" fontId="3" fillId="0" borderId="4" xfId="0" applyFont="1" applyFill="1" applyBorder="1" applyAlignment="1">
      <alignment horizontal="left" vertical="center" wrapText="1" indent="6"/>
    </xf>
    <xf numFmtId="49" fontId="3" fillId="0" borderId="6" xfId="0" applyNumberFormat="1" applyFont="1" applyFill="1" applyBorder="1" applyAlignment="1">
      <alignment horizontal="center" vertical="center" wrapText="1"/>
    </xf>
    <xf numFmtId="0" fontId="3" fillId="0" borderId="6" xfId="0" applyFont="1" applyFill="1" applyBorder="1" applyAlignment="1">
      <alignment horizontal="left" vertical="center" wrapText="1" indent="6"/>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3" fillId="0" borderId="0" xfId="0" applyFont="1" applyFill="1" applyAlignment="1">
      <alignment vertical="center"/>
    </xf>
    <xf numFmtId="0" fontId="16" fillId="0" borderId="0" xfId="0" applyFont="1" applyFill="1" applyAlignment="1">
      <alignment horizontal="right" vertical="center"/>
    </xf>
    <xf numFmtId="4" fontId="3" fillId="0" borderId="1"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0" xfId="0" applyFont="1" applyFill="1" applyAlignment="1">
      <alignment horizontal="left" vertical="center" wrapText="1"/>
    </xf>
  </cellXfs>
  <cellStyles count="19">
    <cellStyle name="Excel Built-in Normal" xfId="16"/>
    <cellStyle name="Гиперссылка" xfId="1" builtinId="8"/>
    <cellStyle name="Денежный 2" xfId="6"/>
    <cellStyle name="Обычный" xfId="0" builtinId="0"/>
    <cellStyle name="Обычный 10" xfId="7"/>
    <cellStyle name="Обычный 13" xfId="17"/>
    <cellStyle name="Обычный 2" xfId="2"/>
    <cellStyle name="Обычный 2 2" xfId="3"/>
    <cellStyle name="Обычный 2 2 2" xfId="4"/>
    <cellStyle name="Обычный 2 2 2 2" xfId="18"/>
    <cellStyle name="Обычный 2 3" xfId="14"/>
    <cellStyle name="Обычный 3" xfId="8"/>
    <cellStyle name="Обычный 5" xfId="15"/>
    <cellStyle name="Процентный 2" xfId="5"/>
    <cellStyle name="Процентный 7" xfId="9"/>
    <cellStyle name="Финансовый 2" xfId="10"/>
    <cellStyle name="Финансовый 2 4" xfId="11"/>
    <cellStyle name="Финансовый 3" xfId="12"/>
    <cellStyle name="Финансовый 9" xfId="1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consultantplus://offline/ref=CBECFAEF91D2D30EBC08D16080DD269092342B1E4843B99A99CB88A7BD2CA4858E334B9E7C396F7E21BBBDE705d5vBM" TargetMode="External"/><Relationship Id="rId3" Type="http://schemas.openxmlformats.org/officeDocument/2006/relationships/hyperlink" Target="consultantplus://offline/ref=280587161436249041173B36811E4341F024095E8A690BF3BA6328629DB444AFA7C5A321B3345C7CCE827725D03C1C6D775A0C15CB2CPBiAM" TargetMode="External"/><Relationship Id="rId7" Type="http://schemas.openxmlformats.org/officeDocument/2006/relationships/hyperlink" Target="consultantplus://offline/ref=E8837531A98DDA9CE7B3EF3A8D8810A0CA861DB8DA864D7A747F251A073DB0C5518EFA13C30C6088DE9D551733mApCM" TargetMode="External"/><Relationship Id="rId12" Type="http://schemas.openxmlformats.org/officeDocument/2006/relationships/printerSettings" Target="../printerSettings/printerSettings3.bin"/><Relationship Id="rId2" Type="http://schemas.openxmlformats.org/officeDocument/2006/relationships/hyperlink" Target="consultantplus://offline/ref=53E95EC7FFBA50A91A379B132AFA0B4278B8C11A84B75BF933DD6E9107B005B2968096904546DA53CBCF5A4AD8Q7hFM" TargetMode="External"/><Relationship Id="rId1" Type="http://schemas.openxmlformats.org/officeDocument/2006/relationships/hyperlink" Target="consultantplus://offline/ref=25613B820ED8D467709385FFBBD2423B71970CBE5B5D377A8236A5B7B3F274E2C65484FA1133E476AC95E98CA9G0h2M" TargetMode="External"/><Relationship Id="rId6" Type="http://schemas.openxmlformats.org/officeDocument/2006/relationships/hyperlink" Target="consultantplus://offline/ref=BDA720377C3CF88E2E0FF08D3B2ECFBA1E52226DABA5F1C67B7FDB8B07A7A4471D22B25E7722175B583BA29D9EU8pDM" TargetMode="External"/><Relationship Id="rId11" Type="http://schemas.openxmlformats.org/officeDocument/2006/relationships/hyperlink" Target="consultantplus://offline/ref=9245A734015DC4942AA35FC3B16C078CD8A08E50AC0CCFB05D429DEF390116FAA37E169F52215A2385376602B0h5x0M" TargetMode="External"/><Relationship Id="rId5" Type="http://schemas.openxmlformats.org/officeDocument/2006/relationships/hyperlink" Target="consultantplus://offline/ref=98878A1157728594C00A05B8B10AFA16D8DE87A73CE16BB0261EB415AAC8CADB1EC6BA7EDCE0D268E26CF93316HClEM" TargetMode="External"/><Relationship Id="rId10" Type="http://schemas.openxmlformats.org/officeDocument/2006/relationships/hyperlink" Target="consultantplus://offline/ref=8D21A68D24BF0BB691D4FEBF346B8381FFBF06ACFB556882F8EBFC44D6D4FDFBFB9FE66FA3C074F87DAD9A3983tAwAM" TargetMode="External"/><Relationship Id="rId4" Type="http://schemas.openxmlformats.org/officeDocument/2006/relationships/hyperlink" Target="consultantplus://offline/ref=5C0EF70A756CB7648EC7B01E55328E5023CB191683D03ABC1374A6764B93A310C16342D36134DF949E28CF20F9zAk7M" TargetMode="External"/><Relationship Id="rId9" Type="http://schemas.openxmlformats.org/officeDocument/2006/relationships/hyperlink" Target="consultantplus://offline/ref=BE8C1374B042E3F7FB9FE324E3162F87539B90FA15A243C89205FCD9C8FAB1589CABDA4CC0EAFD9BBD8D8CED9062vA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consultantplus://offline/ref=E5FF76759B2957F1B1B48801622FDA28C7B2833C1671F9F296A3C9C19BD62860B5CC5C856CB4F3CD9ED2CCA4kD61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view="pageBreakPreview" topLeftCell="A4" zoomScaleSheetLayoutView="100" workbookViewId="0">
      <selection activeCell="A17" sqref="A17:O17"/>
    </sheetView>
  </sheetViews>
  <sheetFormatPr defaultRowHeight="15" x14ac:dyDescent="0.25"/>
  <cols>
    <col min="1" max="9" width="9.140625" style="3"/>
    <col min="10" max="10" width="10.7109375" style="3" customWidth="1"/>
    <col min="11" max="11" width="9.140625" style="3" customWidth="1"/>
    <col min="12" max="14" width="9.140625" style="3"/>
    <col min="15" max="15" width="10.5703125" style="3" customWidth="1"/>
  </cols>
  <sheetData>
    <row r="1" spans="1:15" x14ac:dyDescent="0.25">
      <c r="B1" s="4"/>
      <c r="K1" s="5" t="s">
        <v>0</v>
      </c>
    </row>
    <row r="2" spans="1:15" x14ac:dyDescent="0.25">
      <c r="B2" s="4"/>
      <c r="K2" s="5" t="s">
        <v>76</v>
      </c>
    </row>
    <row r="3" spans="1:15" x14ac:dyDescent="0.25">
      <c r="B3" s="4"/>
      <c r="K3" s="6" t="s">
        <v>77</v>
      </c>
    </row>
    <row r="4" spans="1:15" x14ac:dyDescent="0.25">
      <c r="B4" s="4"/>
      <c r="K4" s="5" t="s">
        <v>1</v>
      </c>
    </row>
    <row r="5" spans="1:15" ht="9" customHeight="1" x14ac:dyDescent="0.25">
      <c r="A5" s="2"/>
      <c r="B5" s="4"/>
    </row>
    <row r="6" spans="1:15" x14ac:dyDescent="0.25">
      <c r="B6" s="4"/>
      <c r="K6" s="1" t="s">
        <v>2</v>
      </c>
      <c r="L6" s="345"/>
      <c r="M6" s="345"/>
      <c r="N6" s="345"/>
      <c r="O6" s="345"/>
    </row>
    <row r="7" spans="1:15" x14ac:dyDescent="0.25">
      <c r="B7" s="4"/>
      <c r="K7" s="411" t="s">
        <v>755</v>
      </c>
      <c r="L7" s="411"/>
      <c r="M7" s="411"/>
      <c r="N7" s="411"/>
      <c r="O7" s="411"/>
    </row>
    <row r="8" spans="1:15" x14ac:dyDescent="0.25">
      <c r="B8" s="4"/>
      <c r="K8" s="412" t="s">
        <v>756</v>
      </c>
      <c r="L8" s="412"/>
      <c r="M8" s="412"/>
      <c r="N8" s="412"/>
      <c r="O8" s="412"/>
    </row>
    <row r="9" spans="1:15" x14ac:dyDescent="0.25">
      <c r="B9" s="4"/>
      <c r="K9" s="413" t="s">
        <v>757</v>
      </c>
      <c r="L9" s="413"/>
      <c r="M9" s="413"/>
      <c r="N9" s="413"/>
      <c r="O9" s="413"/>
    </row>
    <row r="10" spans="1:15" x14ac:dyDescent="0.25">
      <c r="B10" s="4"/>
      <c r="K10" s="412" t="s">
        <v>758</v>
      </c>
      <c r="L10" s="412"/>
      <c r="M10" s="412"/>
      <c r="N10" s="412"/>
      <c r="O10" s="412"/>
    </row>
    <row r="11" spans="1:15" ht="15" customHeight="1" x14ac:dyDescent="0.25">
      <c r="B11" s="4"/>
      <c r="K11" s="414" t="s">
        <v>759</v>
      </c>
      <c r="L11" s="414"/>
      <c r="M11" s="411" t="s">
        <v>770</v>
      </c>
      <c r="N11" s="411"/>
      <c r="O11" s="411"/>
    </row>
    <row r="12" spans="1:15" x14ac:dyDescent="0.25">
      <c r="B12" s="4"/>
      <c r="K12" s="412" t="s">
        <v>760</v>
      </c>
      <c r="L12" s="412"/>
      <c r="M12" s="415" t="s">
        <v>761</v>
      </c>
      <c r="N12" s="415"/>
      <c r="O12" s="415"/>
    </row>
    <row r="13" spans="1:15" x14ac:dyDescent="0.25">
      <c r="B13" s="4"/>
      <c r="K13" s="1" t="str">
        <f>A18</f>
        <v xml:space="preserve">от «31» марта 2021 г.     </v>
      </c>
      <c r="L13" s="345"/>
      <c r="M13" s="345"/>
      <c r="N13" s="345"/>
      <c r="O13" s="345"/>
    </row>
    <row r="14" spans="1:15" ht="21" customHeight="1" x14ac:dyDescent="0.25">
      <c r="A14" s="2"/>
      <c r="B14" s="4"/>
    </row>
    <row r="15" spans="1:15" ht="18.75" x14ac:dyDescent="0.25">
      <c r="A15" s="410" t="s">
        <v>762</v>
      </c>
      <c r="B15" s="410"/>
      <c r="C15" s="410"/>
      <c r="D15" s="410"/>
      <c r="E15" s="410"/>
      <c r="F15" s="410"/>
      <c r="G15" s="410"/>
      <c r="H15" s="410"/>
      <c r="I15" s="410"/>
      <c r="J15" s="410"/>
      <c r="K15" s="410"/>
      <c r="L15" s="410"/>
      <c r="M15" s="410"/>
      <c r="N15" s="410"/>
      <c r="O15" s="410"/>
    </row>
    <row r="16" spans="1:15" ht="18.75" x14ac:dyDescent="0.25">
      <c r="A16" s="410" t="s">
        <v>763</v>
      </c>
      <c r="B16" s="410"/>
      <c r="C16" s="410"/>
      <c r="D16" s="410"/>
      <c r="E16" s="410"/>
      <c r="F16" s="410"/>
      <c r="G16" s="410"/>
      <c r="H16" s="410"/>
      <c r="I16" s="410"/>
      <c r="J16" s="410"/>
      <c r="K16" s="410"/>
      <c r="L16" s="410"/>
      <c r="M16" s="410"/>
      <c r="N16" s="410"/>
      <c r="O16" s="410"/>
    </row>
    <row r="17" spans="1:15" ht="18.75" x14ac:dyDescent="0.25">
      <c r="A17" s="410" t="s">
        <v>764</v>
      </c>
      <c r="B17" s="410"/>
      <c r="C17" s="410"/>
      <c r="D17" s="410"/>
      <c r="E17" s="410"/>
      <c r="F17" s="410"/>
      <c r="G17" s="410"/>
      <c r="H17" s="410"/>
      <c r="I17" s="410"/>
      <c r="J17" s="410"/>
      <c r="K17" s="410"/>
      <c r="L17" s="410"/>
      <c r="M17" s="410"/>
      <c r="N17" s="410"/>
      <c r="O17" s="410"/>
    </row>
    <row r="18" spans="1:15" ht="18.75" x14ac:dyDescent="0.25">
      <c r="A18" s="410" t="s">
        <v>818</v>
      </c>
      <c r="B18" s="410"/>
      <c r="C18" s="410"/>
      <c r="D18" s="410"/>
      <c r="E18" s="410"/>
      <c r="F18" s="410"/>
      <c r="G18" s="410"/>
      <c r="H18" s="410"/>
      <c r="I18" s="410"/>
      <c r="J18" s="410"/>
      <c r="K18" s="410"/>
      <c r="L18" s="410"/>
      <c r="M18" s="410"/>
      <c r="N18" s="410"/>
      <c r="O18" s="410"/>
    </row>
    <row r="19" spans="1:15" x14ac:dyDescent="0.25">
      <c r="B19" s="4"/>
      <c r="N19" s="416" t="s">
        <v>3</v>
      </c>
      <c r="O19" s="416"/>
    </row>
    <row r="20" spans="1:15" x14ac:dyDescent="0.25">
      <c r="B20" s="4"/>
      <c r="M20" s="346" t="s">
        <v>765</v>
      </c>
      <c r="N20" s="417" t="s">
        <v>819</v>
      </c>
      <c r="O20" s="418"/>
    </row>
    <row r="21" spans="1:15" x14ac:dyDescent="0.25">
      <c r="B21" s="4"/>
      <c r="K21" s="419" t="s">
        <v>766</v>
      </c>
      <c r="L21" s="419"/>
      <c r="M21" s="420"/>
      <c r="N21" s="416">
        <v>57308398</v>
      </c>
      <c r="O21" s="416"/>
    </row>
    <row r="22" spans="1:15" x14ac:dyDescent="0.25">
      <c r="B22" s="4"/>
      <c r="L22" s="419" t="s">
        <v>767</v>
      </c>
      <c r="M22" s="420"/>
      <c r="N22" s="416">
        <v>930</v>
      </c>
      <c r="O22" s="416"/>
    </row>
    <row r="23" spans="1:15" x14ac:dyDescent="0.25">
      <c r="B23" s="4"/>
      <c r="K23" s="419" t="s">
        <v>766</v>
      </c>
      <c r="L23" s="419"/>
      <c r="M23" s="420"/>
      <c r="N23" s="416">
        <v>57300045</v>
      </c>
      <c r="O23" s="416"/>
    </row>
    <row r="24" spans="1:15" x14ac:dyDescent="0.25">
      <c r="B24" s="4"/>
      <c r="M24" s="346" t="s">
        <v>4</v>
      </c>
      <c r="N24" s="416">
        <v>5906051620</v>
      </c>
      <c r="O24" s="416"/>
    </row>
    <row r="25" spans="1:15" x14ac:dyDescent="0.25">
      <c r="B25" s="4"/>
      <c r="M25" s="346" t="s">
        <v>5</v>
      </c>
      <c r="N25" s="416">
        <v>590601001</v>
      </c>
      <c r="O25" s="416"/>
    </row>
    <row r="26" spans="1:15" x14ac:dyDescent="0.25">
      <c r="B26" s="4"/>
      <c r="M26" s="346" t="s">
        <v>6</v>
      </c>
      <c r="N26" s="416">
        <v>383</v>
      </c>
      <c r="O26" s="416"/>
    </row>
    <row r="27" spans="1:15" ht="15.75" customHeight="1" x14ac:dyDescent="0.25">
      <c r="A27" s="2"/>
      <c r="B27" s="4"/>
    </row>
    <row r="28" spans="1:15" ht="15.75" customHeight="1" x14ac:dyDescent="0.25">
      <c r="A28" s="421" t="s">
        <v>768</v>
      </c>
      <c r="B28" s="421"/>
      <c r="C28" s="421"/>
      <c r="D28" s="421"/>
      <c r="E28" s="421"/>
      <c r="F28" s="421"/>
      <c r="G28" s="421"/>
      <c r="H28" s="421"/>
      <c r="I28" s="421"/>
      <c r="J28" s="421"/>
      <c r="K28" s="421"/>
      <c r="L28" s="421"/>
      <c r="M28" s="421"/>
      <c r="N28" s="421"/>
      <c r="O28" s="421"/>
    </row>
    <row r="29" spans="1:15" s="7" customFormat="1" ht="23.25" customHeight="1" x14ac:dyDescent="0.25">
      <c r="A29" s="421" t="s">
        <v>769</v>
      </c>
      <c r="B29" s="421"/>
      <c r="C29" s="421"/>
      <c r="D29" s="421"/>
      <c r="E29" s="421"/>
      <c r="F29" s="421"/>
      <c r="G29" s="421"/>
      <c r="H29" s="421"/>
      <c r="I29" s="421"/>
      <c r="J29" s="421"/>
      <c r="K29" s="421"/>
      <c r="L29" s="421"/>
      <c r="M29" s="421"/>
      <c r="N29" s="421"/>
      <c r="O29" s="421"/>
    </row>
    <row r="30" spans="1:15" s="7" customFormat="1" ht="16.149999999999999" customHeight="1" x14ac:dyDescent="0.25">
      <c r="A30" s="421" t="s">
        <v>7</v>
      </c>
      <c r="B30" s="421"/>
      <c r="C30" s="421"/>
      <c r="D30" s="421"/>
      <c r="E30" s="422"/>
      <c r="F30" s="422"/>
      <c r="G30" s="423"/>
      <c r="H30" s="423"/>
      <c r="I30" s="347"/>
      <c r="J30" s="347"/>
      <c r="K30" s="348"/>
      <c r="L30" s="348"/>
      <c r="M30" s="348"/>
      <c r="N30" s="348"/>
      <c r="O30" s="348"/>
    </row>
    <row r="31" spans="1:15" s="7" customFormat="1" ht="0.75" customHeight="1" x14ac:dyDescent="0.25">
      <c r="A31" s="9"/>
      <c r="B31" s="10"/>
      <c r="C31" s="10"/>
      <c r="D31" s="10"/>
      <c r="E31" s="10"/>
      <c r="F31" s="10"/>
      <c r="G31" s="10"/>
      <c r="H31" s="10"/>
      <c r="I31" s="8"/>
      <c r="J31" s="8"/>
      <c r="K31" s="8"/>
      <c r="L31" s="8"/>
      <c r="M31" s="8"/>
      <c r="N31" s="8"/>
      <c r="O31" s="8"/>
    </row>
    <row r="32" spans="1:15"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sheetData>
  <mergeCells count="28">
    <mergeCell ref="A29:O29"/>
    <mergeCell ref="A30:D30"/>
    <mergeCell ref="E30:F30"/>
    <mergeCell ref="G30:H30"/>
    <mergeCell ref="K23:M23"/>
    <mergeCell ref="N23:O23"/>
    <mergeCell ref="N24:O24"/>
    <mergeCell ref="N25:O25"/>
    <mergeCell ref="N26:O26"/>
    <mergeCell ref="A28:O28"/>
    <mergeCell ref="N19:O19"/>
    <mergeCell ref="N20:O20"/>
    <mergeCell ref="K21:M21"/>
    <mergeCell ref="N21:O21"/>
    <mergeCell ref="L22:M22"/>
    <mergeCell ref="N22:O22"/>
    <mergeCell ref="A18:O18"/>
    <mergeCell ref="K7:O7"/>
    <mergeCell ref="K8:O8"/>
    <mergeCell ref="K9:O9"/>
    <mergeCell ref="K10:O10"/>
    <mergeCell ref="K11:L11"/>
    <mergeCell ref="M11:O11"/>
    <mergeCell ref="K12:L12"/>
    <mergeCell ref="M12:O12"/>
    <mergeCell ref="A15:O15"/>
    <mergeCell ref="A16:O16"/>
    <mergeCell ref="A17:O17"/>
  </mergeCells>
  <pageMargins left="0.7" right="0.7" top="0.75" bottom="0.75" header="0.3" footer="0.3"/>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244"/>
  <sheetViews>
    <sheetView view="pageBreakPreview" topLeftCell="B171" zoomScaleSheetLayoutView="100" workbookViewId="0">
      <selection activeCell="G53" sqref="G53"/>
    </sheetView>
  </sheetViews>
  <sheetFormatPr defaultRowHeight="15.75" x14ac:dyDescent="0.25"/>
  <cols>
    <col min="1" max="1" width="9.140625" style="94"/>
    <col min="2" max="2" width="19.42578125" style="95" customWidth="1"/>
    <col min="3" max="3" width="20.5703125" style="94" customWidth="1"/>
    <col min="4" max="4" width="21.28515625" style="94" customWidth="1"/>
    <col min="5" max="5" width="17.28515625" style="94" customWidth="1"/>
    <col min="6" max="6" width="20.85546875" style="94" customWidth="1"/>
    <col min="7" max="7" width="16.85546875" style="94" customWidth="1"/>
    <col min="8" max="8" width="16.28515625" style="94" customWidth="1"/>
    <col min="9" max="9" width="19.5703125" style="94" customWidth="1"/>
    <col min="10" max="10" width="23" style="94" customWidth="1"/>
    <col min="11" max="11" width="24.42578125" style="94" customWidth="1"/>
    <col min="12" max="12" width="13.140625" style="94" customWidth="1"/>
    <col min="13" max="16384" width="9.140625" style="94"/>
  </cols>
  <sheetData>
    <row r="1" spans="1:162" ht="15.75" customHeight="1" x14ac:dyDescent="0.25">
      <c r="E1" s="610"/>
      <c r="F1" s="610"/>
    </row>
    <row r="2" spans="1:162" s="115" customFormat="1" ht="40.5" customHeight="1" x14ac:dyDescent="0.3">
      <c r="A2" s="611" t="s">
        <v>481</v>
      </c>
      <c r="B2" s="611"/>
      <c r="C2" s="611"/>
      <c r="D2" s="611"/>
      <c r="E2" s="611"/>
      <c r="F2" s="611"/>
      <c r="G2" s="611"/>
      <c r="H2" s="611"/>
      <c r="I2" s="611"/>
      <c r="J2" s="611"/>
      <c r="K2" s="611"/>
      <c r="L2" s="114"/>
      <c r="M2" s="114"/>
      <c r="N2" s="114"/>
      <c r="O2" s="114"/>
      <c r="P2" s="114"/>
      <c r="Q2" s="114"/>
      <c r="R2" s="114"/>
      <c r="S2" s="114"/>
      <c r="T2" s="114"/>
      <c r="U2" s="114"/>
      <c r="V2" s="114"/>
      <c r="W2" s="114"/>
      <c r="X2" s="114"/>
      <c r="Y2" s="114"/>
      <c r="Z2" s="114"/>
    </row>
    <row r="3" spans="1:162" s="115" customFormat="1" ht="15.75" customHeight="1" x14ac:dyDescent="0.3">
      <c r="B3" s="612"/>
      <c r="C3" s="612"/>
      <c r="D3" s="612"/>
      <c r="E3" s="612"/>
      <c r="F3" s="612"/>
      <c r="G3" s="612"/>
      <c r="H3" s="612"/>
      <c r="I3" s="612"/>
      <c r="J3" s="114"/>
      <c r="K3" s="114"/>
      <c r="L3" s="114"/>
      <c r="M3" s="114"/>
      <c r="N3" s="114"/>
      <c r="O3" s="114"/>
      <c r="P3" s="114"/>
      <c r="Q3" s="114"/>
      <c r="R3" s="114"/>
      <c r="S3" s="114"/>
      <c r="T3" s="114"/>
      <c r="U3" s="114"/>
      <c r="V3" s="114"/>
      <c r="W3" s="114"/>
      <c r="X3" s="114"/>
      <c r="Y3" s="114"/>
      <c r="Z3" s="114"/>
    </row>
    <row r="4" spans="1:162" ht="20.25" customHeight="1" x14ac:dyDescent="0.25">
      <c r="A4" s="613" t="s">
        <v>482</v>
      </c>
      <c r="B4" s="613"/>
      <c r="C4" s="613"/>
      <c r="D4" s="613"/>
      <c r="E4" s="613"/>
      <c r="F4" s="613"/>
      <c r="G4" s="613"/>
      <c r="H4" s="613"/>
      <c r="I4" s="613"/>
      <c r="J4" s="613"/>
      <c r="K4" s="613"/>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row>
    <row r="5" spans="1:162" ht="15.75" customHeight="1" x14ac:dyDescent="0.25">
      <c r="B5" s="94"/>
      <c r="K5" s="117"/>
      <c r="L5" s="117"/>
      <c r="M5" s="117"/>
      <c r="N5" s="117"/>
      <c r="O5" s="117"/>
      <c r="P5" s="117"/>
      <c r="Q5" s="117"/>
      <c r="R5" s="117"/>
      <c r="S5" s="117"/>
      <c r="T5" s="117"/>
      <c r="U5" s="117"/>
      <c r="V5" s="117"/>
      <c r="W5" s="117"/>
      <c r="X5" s="117"/>
      <c r="Y5" s="117"/>
      <c r="Z5" s="117"/>
      <c r="AA5" s="117"/>
      <c r="AB5" s="117"/>
      <c r="AC5" s="117"/>
      <c r="AD5" s="117"/>
      <c r="AE5" s="117"/>
    </row>
    <row r="6" spans="1:162" ht="15.75" customHeight="1" x14ac:dyDescent="0.25">
      <c r="B6" s="118" t="s">
        <v>483</v>
      </c>
      <c r="C6" s="118"/>
      <c r="K6" s="117"/>
      <c r="L6" s="117"/>
      <c r="M6" s="117"/>
      <c r="N6" s="117"/>
      <c r="O6" s="117"/>
      <c r="P6" s="117"/>
      <c r="Q6" s="117"/>
      <c r="R6" s="117"/>
      <c r="S6" s="117"/>
      <c r="T6" s="117"/>
      <c r="U6" s="117"/>
      <c r="V6" s="117"/>
      <c r="W6" s="117"/>
      <c r="X6" s="117"/>
      <c r="Y6" s="117"/>
      <c r="Z6" s="117"/>
      <c r="AA6" s="117"/>
      <c r="AB6" s="117"/>
      <c r="AC6" s="117"/>
      <c r="AD6" s="117"/>
      <c r="AE6" s="117"/>
    </row>
    <row r="7" spans="1:162" ht="15.75" customHeight="1" x14ac:dyDescent="0.25">
      <c r="B7" s="94"/>
      <c r="K7" s="117"/>
      <c r="L7" s="117"/>
      <c r="M7" s="117"/>
      <c r="N7" s="117"/>
      <c r="O7" s="117"/>
      <c r="P7" s="117"/>
      <c r="Q7" s="117"/>
      <c r="R7" s="117"/>
      <c r="S7" s="117"/>
      <c r="T7" s="117"/>
      <c r="U7" s="117"/>
      <c r="V7" s="117"/>
      <c r="W7" s="117"/>
      <c r="X7" s="117"/>
      <c r="Y7" s="117"/>
      <c r="Z7" s="117"/>
      <c r="AA7" s="117"/>
      <c r="AB7" s="117"/>
      <c r="AC7" s="117"/>
      <c r="AD7" s="117"/>
      <c r="AE7" s="117"/>
    </row>
    <row r="8" spans="1:162" ht="15.75" customHeight="1" x14ac:dyDescent="0.25">
      <c r="B8" s="118" t="s">
        <v>351</v>
      </c>
      <c r="C8" s="118"/>
      <c r="D8" s="118" t="s">
        <v>568</v>
      </c>
      <c r="E8" s="118"/>
      <c r="F8" s="117"/>
      <c r="G8" s="117"/>
      <c r="K8" s="117"/>
      <c r="L8" s="117"/>
      <c r="M8" s="117"/>
      <c r="N8" s="117"/>
      <c r="O8" s="117"/>
      <c r="P8" s="117"/>
      <c r="Q8" s="117"/>
      <c r="R8" s="117"/>
      <c r="S8" s="117"/>
      <c r="T8" s="117"/>
      <c r="U8" s="117"/>
      <c r="V8" s="117"/>
      <c r="W8" s="117"/>
      <c r="X8" s="117"/>
      <c r="Y8" s="117"/>
      <c r="Z8" s="117"/>
      <c r="AA8" s="117"/>
      <c r="AB8" s="117"/>
      <c r="AC8" s="117"/>
      <c r="AD8" s="117"/>
      <c r="AE8" s="117"/>
    </row>
    <row r="9" spans="1:162" ht="15.75" customHeight="1" x14ac:dyDescent="0.25">
      <c r="B9" s="94"/>
      <c r="K9" s="117"/>
      <c r="L9" s="117"/>
      <c r="M9" s="117"/>
      <c r="N9" s="117"/>
      <c r="O9" s="117"/>
      <c r="P9" s="117"/>
      <c r="Q9" s="117"/>
      <c r="R9" s="117"/>
      <c r="S9" s="117"/>
      <c r="T9" s="117"/>
      <c r="U9" s="117"/>
      <c r="V9" s="117"/>
      <c r="W9" s="117"/>
      <c r="X9" s="117"/>
      <c r="Y9" s="117"/>
      <c r="Z9" s="117"/>
      <c r="AA9" s="117"/>
      <c r="AB9" s="117"/>
      <c r="AC9" s="117"/>
      <c r="AD9" s="117"/>
      <c r="AE9" s="117"/>
    </row>
    <row r="10" spans="1:162" ht="15.75" customHeight="1" x14ac:dyDescent="0.25">
      <c r="B10" s="119" t="s">
        <v>485</v>
      </c>
      <c r="K10" s="117"/>
      <c r="L10" s="117"/>
      <c r="M10" s="117"/>
      <c r="N10" s="117"/>
      <c r="O10" s="117"/>
      <c r="P10" s="117"/>
      <c r="Q10" s="117"/>
      <c r="R10" s="117"/>
      <c r="S10" s="117"/>
      <c r="T10" s="117"/>
      <c r="U10" s="117"/>
      <c r="V10" s="117"/>
      <c r="W10" s="117"/>
      <c r="X10" s="117"/>
      <c r="Y10" s="117"/>
      <c r="Z10" s="117"/>
      <c r="AA10" s="117"/>
      <c r="AB10" s="117"/>
      <c r="AC10" s="117"/>
      <c r="AD10" s="117"/>
      <c r="AE10" s="117"/>
    </row>
    <row r="11" spans="1:162" ht="15.75" customHeight="1" x14ac:dyDescent="0.25">
      <c r="B11" s="94"/>
      <c r="K11" s="117"/>
      <c r="L11" s="117"/>
      <c r="M11" s="117"/>
      <c r="N11" s="117"/>
      <c r="O11" s="117"/>
      <c r="P11" s="117"/>
      <c r="Q11" s="117"/>
      <c r="R11" s="117"/>
      <c r="S11" s="117"/>
      <c r="T11" s="117"/>
      <c r="U11" s="117"/>
      <c r="V11" s="117"/>
      <c r="W11" s="117"/>
      <c r="X11" s="117"/>
      <c r="Y11" s="117"/>
      <c r="Z11" s="117"/>
      <c r="AA11" s="117"/>
      <c r="AB11" s="117"/>
      <c r="AC11" s="117"/>
      <c r="AD11" s="117"/>
      <c r="AE11" s="117"/>
    </row>
    <row r="12" spans="1:162" ht="48" customHeight="1" x14ac:dyDescent="0.25">
      <c r="A12" s="614" t="s">
        <v>463</v>
      </c>
      <c r="B12" s="615" t="s">
        <v>486</v>
      </c>
      <c r="C12" s="615" t="s">
        <v>487</v>
      </c>
      <c r="D12" s="618" t="s">
        <v>254</v>
      </c>
      <c r="E12" s="619"/>
      <c r="F12" s="619"/>
      <c r="G12" s="620"/>
      <c r="H12" s="615" t="s">
        <v>255</v>
      </c>
      <c r="I12" s="615" t="s">
        <v>256</v>
      </c>
      <c r="J12" s="615" t="s">
        <v>488</v>
      </c>
      <c r="K12" s="627" t="s">
        <v>489</v>
      </c>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17"/>
      <c r="BY12" s="117"/>
      <c r="BZ12" s="117"/>
      <c r="CA12" s="117"/>
      <c r="CB12" s="117"/>
      <c r="CC12" s="117"/>
      <c r="CD12" s="117"/>
      <c r="CE12" s="117"/>
    </row>
    <row r="13" spans="1:162" ht="15.75" customHeight="1" x14ac:dyDescent="0.25">
      <c r="A13" s="614"/>
      <c r="B13" s="616"/>
      <c r="C13" s="616"/>
      <c r="D13" s="370" t="s">
        <v>257</v>
      </c>
      <c r="E13" s="618" t="s">
        <v>23</v>
      </c>
      <c r="F13" s="619"/>
      <c r="G13" s="619"/>
      <c r="H13" s="616"/>
      <c r="I13" s="616"/>
      <c r="J13" s="616"/>
      <c r="K13" s="627"/>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17"/>
      <c r="BI13" s="117"/>
      <c r="BJ13" s="117"/>
      <c r="BK13" s="117"/>
      <c r="BL13" s="117"/>
      <c r="BM13" s="117"/>
      <c r="BN13" s="117"/>
      <c r="BO13" s="117"/>
      <c r="BP13" s="117"/>
      <c r="BQ13" s="117"/>
      <c r="BR13" s="117"/>
      <c r="BS13" s="117"/>
      <c r="BT13" s="117"/>
      <c r="BU13" s="117"/>
    </row>
    <row r="14" spans="1:162" ht="46.5" customHeight="1" x14ac:dyDescent="0.25">
      <c r="A14" s="614"/>
      <c r="B14" s="617"/>
      <c r="C14" s="617"/>
      <c r="D14" s="383"/>
      <c r="E14" s="122" t="s">
        <v>258</v>
      </c>
      <c r="F14" s="122" t="s">
        <v>259</v>
      </c>
      <c r="G14" s="370" t="s">
        <v>490</v>
      </c>
      <c r="H14" s="617"/>
      <c r="I14" s="617"/>
      <c r="J14" s="617"/>
      <c r="K14" s="627"/>
      <c r="L14" s="120"/>
      <c r="M14" s="120"/>
      <c r="N14" s="120"/>
      <c r="O14" s="120"/>
      <c r="P14" s="120"/>
      <c r="Q14" s="120"/>
      <c r="R14" s="120"/>
      <c r="S14" s="120"/>
      <c r="T14" s="120"/>
      <c r="U14" s="120"/>
      <c r="V14" s="120"/>
      <c r="W14" s="120"/>
      <c r="X14" s="120"/>
      <c r="Y14" s="120"/>
      <c r="Z14" s="120"/>
      <c r="AA14" s="117"/>
      <c r="AB14" s="117"/>
      <c r="AC14" s="117"/>
      <c r="AD14" s="117"/>
      <c r="AE14" s="117"/>
    </row>
    <row r="15" spans="1:162" ht="15.75" customHeight="1" x14ac:dyDescent="0.25">
      <c r="A15" s="210">
        <v>1</v>
      </c>
      <c r="B15" s="124">
        <v>2</v>
      </c>
      <c r="C15" s="124">
        <v>3</v>
      </c>
      <c r="D15" s="125">
        <v>4</v>
      </c>
      <c r="E15" s="126">
        <v>5</v>
      </c>
      <c r="F15" s="127">
        <v>6</v>
      </c>
      <c r="G15" s="124">
        <v>7</v>
      </c>
      <c r="H15" s="124">
        <v>8</v>
      </c>
      <c r="I15" s="124">
        <v>9</v>
      </c>
      <c r="J15" s="127">
        <v>10</v>
      </c>
      <c r="K15" s="127">
        <v>11</v>
      </c>
      <c r="L15" s="128"/>
      <c r="M15" s="128"/>
      <c r="N15" s="128"/>
      <c r="O15" s="128"/>
      <c r="P15" s="128"/>
      <c r="Q15" s="128"/>
      <c r="R15" s="128"/>
      <c r="S15" s="128"/>
      <c r="T15" s="128"/>
      <c r="U15" s="128"/>
      <c r="V15" s="128"/>
      <c r="W15" s="128"/>
      <c r="X15" s="128"/>
      <c r="Y15" s="128"/>
      <c r="Z15" s="128"/>
      <c r="AA15" s="117"/>
      <c r="AB15" s="117"/>
      <c r="AC15" s="117"/>
      <c r="AD15" s="117"/>
      <c r="AE15" s="117"/>
    </row>
    <row r="16" spans="1:162" ht="15.75" customHeight="1" x14ac:dyDescent="0.25">
      <c r="A16" s="129"/>
      <c r="B16" s="130" t="s">
        <v>491</v>
      </c>
      <c r="C16" s="131"/>
      <c r="D16" s="125"/>
      <c r="E16" s="126"/>
      <c r="F16" s="126"/>
      <c r="G16" s="132"/>
      <c r="H16" s="132"/>
      <c r="I16" s="132"/>
      <c r="J16" s="126">
        <f>(C16*D16*(1+H16/100)*I16*12)</f>
        <v>0</v>
      </c>
      <c r="K16" s="133" t="s">
        <v>492</v>
      </c>
      <c r="L16" s="134"/>
      <c r="M16" s="134"/>
      <c r="N16" s="134"/>
      <c r="O16" s="134"/>
      <c r="P16" s="134"/>
      <c r="Q16" s="134"/>
      <c r="R16" s="134"/>
      <c r="S16" s="134"/>
      <c r="T16" s="134"/>
      <c r="U16" s="134"/>
      <c r="V16" s="134"/>
      <c r="W16" s="134"/>
      <c r="X16" s="134"/>
      <c r="Y16" s="134"/>
      <c r="Z16" s="134"/>
      <c r="AA16" s="117"/>
      <c r="AB16" s="117"/>
      <c r="AC16" s="117"/>
      <c r="AD16" s="117"/>
      <c r="AE16" s="117"/>
    </row>
    <row r="17" spans="1:31" ht="15.75" customHeight="1" x14ac:dyDescent="0.25">
      <c r="A17" s="129"/>
      <c r="B17" s="130" t="s">
        <v>493</v>
      </c>
      <c r="C17" s="132">
        <v>6</v>
      </c>
      <c r="D17" s="266">
        <v>6357.0727999999999</v>
      </c>
      <c r="E17" s="267">
        <f>D17</f>
        <v>6357.0727999999999</v>
      </c>
      <c r="F17" s="126"/>
      <c r="G17" s="132"/>
      <c r="H17" s="132"/>
      <c r="I17" s="132">
        <v>1.1499999999999999</v>
      </c>
      <c r="J17" s="305">
        <f>(C17*D17*(1+H17/100)*I17*12)</f>
        <v>526365.62783999997</v>
      </c>
      <c r="K17" s="133" t="s">
        <v>492</v>
      </c>
      <c r="L17" s="389">
        <f>510692.016578168+15673.61</f>
        <v>526365.62657816801</v>
      </c>
      <c r="M17" s="134"/>
      <c r="N17" s="134"/>
      <c r="O17" s="134"/>
      <c r="P17" s="134"/>
      <c r="Q17" s="134"/>
      <c r="R17" s="134"/>
      <c r="S17" s="134"/>
      <c r="T17" s="134"/>
      <c r="U17" s="134"/>
      <c r="V17" s="134"/>
      <c r="W17" s="134"/>
      <c r="X17" s="134"/>
      <c r="Y17" s="134"/>
      <c r="Z17" s="134"/>
      <c r="AA17" s="117"/>
      <c r="AB17" s="117"/>
      <c r="AC17" s="117"/>
      <c r="AD17" s="117"/>
      <c r="AE17" s="117"/>
    </row>
    <row r="18" spans="1:31" ht="15.75" customHeight="1" x14ac:dyDescent="0.25">
      <c r="A18" s="129"/>
      <c r="B18" s="130" t="s">
        <v>494</v>
      </c>
      <c r="C18" s="131"/>
      <c r="D18" s="125"/>
      <c r="E18" s="126"/>
      <c r="F18" s="126"/>
      <c r="G18" s="132"/>
      <c r="H18" s="132"/>
      <c r="I18" s="132"/>
      <c r="J18" s="305">
        <f t="shared" ref="J18:J24" si="0">(C18*D18*(1+H18/100)*I18*12)</f>
        <v>0</v>
      </c>
      <c r="K18" s="133" t="s">
        <v>492</v>
      </c>
      <c r="L18" s="134"/>
      <c r="M18" s="134"/>
      <c r="N18" s="134"/>
      <c r="O18" s="134"/>
      <c r="P18" s="134"/>
      <c r="Q18" s="134"/>
      <c r="R18" s="134"/>
      <c r="S18" s="134"/>
      <c r="T18" s="134"/>
      <c r="U18" s="134"/>
      <c r="V18" s="134"/>
      <c r="W18" s="134"/>
      <c r="X18" s="134"/>
      <c r="Y18" s="134"/>
      <c r="Z18" s="134"/>
      <c r="AA18" s="117"/>
      <c r="AB18" s="117"/>
      <c r="AC18" s="117"/>
      <c r="AD18" s="117"/>
      <c r="AE18" s="117"/>
    </row>
    <row r="19" spans="1:31" ht="15.75" customHeight="1" x14ac:dyDescent="0.25">
      <c r="A19" s="129"/>
      <c r="B19" s="130" t="s">
        <v>495</v>
      </c>
      <c r="C19" s="131"/>
      <c r="D19" s="125"/>
      <c r="E19" s="126"/>
      <c r="F19" s="126"/>
      <c r="G19" s="132"/>
      <c r="H19" s="132"/>
      <c r="I19" s="132"/>
      <c r="J19" s="305">
        <f t="shared" si="0"/>
        <v>0</v>
      </c>
      <c r="K19" s="133" t="s">
        <v>492</v>
      </c>
      <c r="L19" s="134"/>
      <c r="M19" s="134"/>
      <c r="N19" s="134"/>
      <c r="O19" s="134"/>
      <c r="P19" s="134"/>
      <c r="Q19" s="134"/>
      <c r="R19" s="134"/>
      <c r="S19" s="134"/>
      <c r="T19" s="134"/>
      <c r="U19" s="134"/>
      <c r="V19" s="134"/>
      <c r="W19" s="134"/>
      <c r="X19" s="134"/>
      <c r="Y19" s="134"/>
      <c r="Z19" s="134"/>
      <c r="AA19" s="117"/>
      <c r="AB19" s="117"/>
      <c r="AC19" s="117"/>
      <c r="AD19" s="117"/>
      <c r="AE19" s="117"/>
    </row>
    <row r="20" spans="1:31" ht="15.75" customHeight="1" x14ac:dyDescent="0.25">
      <c r="A20" s="129"/>
      <c r="B20" s="135" t="s">
        <v>496</v>
      </c>
      <c r="C20" s="125" t="s">
        <v>19</v>
      </c>
      <c r="D20" s="125"/>
      <c r="E20" s="126" t="s">
        <v>19</v>
      </c>
      <c r="F20" s="126" t="s">
        <v>19</v>
      </c>
      <c r="G20" s="132" t="s">
        <v>19</v>
      </c>
      <c r="H20" s="132" t="s">
        <v>19</v>
      </c>
      <c r="I20" s="132" t="s">
        <v>19</v>
      </c>
      <c r="J20" s="305">
        <f>SUM(J16:J19)</f>
        <v>526365.62783999997</v>
      </c>
      <c r="K20" s="126" t="s">
        <v>19</v>
      </c>
      <c r="L20" s="134"/>
      <c r="M20" s="134"/>
      <c r="N20" s="134"/>
      <c r="O20" s="134"/>
      <c r="P20" s="134"/>
      <c r="Q20" s="134"/>
      <c r="R20" s="134"/>
      <c r="S20" s="134"/>
      <c r="T20" s="134"/>
      <c r="U20" s="134"/>
      <c r="V20" s="134"/>
      <c r="W20" s="134"/>
      <c r="X20" s="134"/>
      <c r="Y20" s="134"/>
      <c r="Z20" s="134"/>
      <c r="AA20" s="117"/>
      <c r="AB20" s="117"/>
      <c r="AC20" s="117"/>
      <c r="AD20" s="117"/>
      <c r="AE20" s="117"/>
    </row>
    <row r="21" spans="1:31" ht="15.75" customHeight="1" x14ac:dyDescent="0.25">
      <c r="A21" s="129"/>
      <c r="B21" s="130" t="s">
        <v>491</v>
      </c>
      <c r="C21" s="125"/>
      <c r="D21" s="125"/>
      <c r="E21" s="126"/>
      <c r="F21" s="126"/>
      <c r="G21" s="132"/>
      <c r="H21" s="132"/>
      <c r="I21" s="132"/>
      <c r="J21" s="305">
        <f t="shared" si="0"/>
        <v>0</v>
      </c>
      <c r="K21" s="133" t="s">
        <v>466</v>
      </c>
      <c r="L21" s="134"/>
      <c r="M21" s="134"/>
      <c r="N21" s="134"/>
      <c r="O21" s="134"/>
      <c r="P21" s="134"/>
      <c r="Q21" s="134"/>
      <c r="R21" s="134"/>
      <c r="S21" s="134"/>
      <c r="T21" s="134"/>
      <c r="U21" s="134"/>
      <c r="V21" s="134"/>
      <c r="W21" s="134"/>
      <c r="X21" s="134"/>
      <c r="Y21" s="134"/>
      <c r="Z21" s="134"/>
      <c r="AA21" s="117"/>
      <c r="AB21" s="117"/>
      <c r="AC21" s="117"/>
      <c r="AD21" s="117"/>
      <c r="AE21" s="117"/>
    </row>
    <row r="22" spans="1:31" ht="15.75" customHeight="1" x14ac:dyDescent="0.25">
      <c r="A22" s="129"/>
      <c r="B22" s="130" t="s">
        <v>493</v>
      </c>
      <c r="C22" s="125"/>
      <c r="D22" s="125"/>
      <c r="E22" s="126"/>
      <c r="F22" s="126"/>
      <c r="G22" s="132"/>
      <c r="H22" s="132"/>
      <c r="I22" s="132"/>
      <c r="J22" s="305">
        <f t="shared" si="0"/>
        <v>0</v>
      </c>
      <c r="K22" s="133" t="s">
        <v>466</v>
      </c>
      <c r="L22" s="134"/>
      <c r="M22" s="134"/>
      <c r="N22" s="134"/>
      <c r="O22" s="134"/>
      <c r="P22" s="134"/>
      <c r="Q22" s="134"/>
      <c r="R22" s="134"/>
      <c r="S22" s="134"/>
      <c r="T22" s="134"/>
      <c r="U22" s="134"/>
      <c r="V22" s="134"/>
      <c r="W22" s="134"/>
      <c r="X22" s="134"/>
      <c r="Y22" s="134"/>
      <c r="Z22" s="134"/>
      <c r="AA22" s="117"/>
      <c r="AB22" s="117"/>
      <c r="AC22" s="117"/>
      <c r="AD22" s="117"/>
      <c r="AE22" s="117"/>
    </row>
    <row r="23" spans="1:31" ht="15.75" customHeight="1" x14ac:dyDescent="0.25">
      <c r="A23" s="129"/>
      <c r="B23" s="130" t="s">
        <v>494</v>
      </c>
      <c r="C23" s="125"/>
      <c r="D23" s="125"/>
      <c r="E23" s="126"/>
      <c r="F23" s="126"/>
      <c r="G23" s="132"/>
      <c r="H23" s="132"/>
      <c r="I23" s="132"/>
      <c r="J23" s="305">
        <f t="shared" si="0"/>
        <v>0</v>
      </c>
      <c r="K23" s="133" t="s">
        <v>466</v>
      </c>
      <c r="L23" s="134"/>
      <c r="M23" s="134"/>
      <c r="N23" s="134"/>
      <c r="O23" s="134"/>
      <c r="P23" s="134"/>
      <c r="Q23" s="134"/>
      <c r="R23" s="134"/>
      <c r="S23" s="134"/>
      <c r="T23" s="134"/>
      <c r="U23" s="134"/>
      <c r="V23" s="134"/>
      <c r="W23" s="134"/>
      <c r="X23" s="134"/>
      <c r="Y23" s="134"/>
      <c r="Z23" s="134"/>
      <c r="AA23" s="117"/>
      <c r="AB23" s="117"/>
      <c r="AC23" s="117"/>
      <c r="AD23" s="117"/>
      <c r="AE23" s="117"/>
    </row>
    <row r="24" spans="1:31" ht="15.75" customHeight="1" x14ac:dyDescent="0.25">
      <c r="A24" s="129"/>
      <c r="B24" s="130" t="s">
        <v>495</v>
      </c>
      <c r="C24" s="125"/>
      <c r="D24" s="125"/>
      <c r="E24" s="126"/>
      <c r="F24" s="126"/>
      <c r="G24" s="132"/>
      <c r="H24" s="132"/>
      <c r="I24" s="132"/>
      <c r="J24" s="305">
        <f t="shared" si="0"/>
        <v>0</v>
      </c>
      <c r="K24" s="133" t="s">
        <v>466</v>
      </c>
      <c r="L24" s="134"/>
      <c r="M24" s="134"/>
      <c r="N24" s="134"/>
      <c r="O24" s="134"/>
      <c r="P24" s="134"/>
      <c r="Q24" s="134"/>
      <c r="R24" s="134"/>
      <c r="S24" s="134"/>
      <c r="T24" s="134"/>
      <c r="U24" s="134"/>
      <c r="V24" s="134"/>
      <c r="W24" s="134"/>
      <c r="X24" s="134"/>
      <c r="Y24" s="134"/>
      <c r="Z24" s="134"/>
      <c r="AA24" s="117"/>
      <c r="AB24" s="117"/>
      <c r="AC24" s="117"/>
      <c r="AD24" s="117"/>
      <c r="AE24" s="117"/>
    </row>
    <row r="25" spans="1:31" ht="15.75" customHeight="1" x14ac:dyDescent="0.25">
      <c r="A25" s="129"/>
      <c r="B25" s="135" t="s">
        <v>496</v>
      </c>
      <c r="C25" s="125" t="s">
        <v>19</v>
      </c>
      <c r="D25" s="125"/>
      <c r="E25" s="126" t="s">
        <v>19</v>
      </c>
      <c r="F25" s="126" t="s">
        <v>19</v>
      </c>
      <c r="G25" s="132" t="s">
        <v>19</v>
      </c>
      <c r="H25" s="132" t="s">
        <v>19</v>
      </c>
      <c r="I25" s="132" t="s">
        <v>19</v>
      </c>
      <c r="J25" s="305">
        <f>SUM(J21:J24)</f>
        <v>0</v>
      </c>
      <c r="K25" s="126" t="s">
        <v>19</v>
      </c>
      <c r="L25" s="117"/>
      <c r="M25" s="117"/>
      <c r="N25" s="117"/>
      <c r="O25" s="117"/>
      <c r="P25" s="117"/>
      <c r="Q25" s="117"/>
      <c r="R25" s="117"/>
      <c r="S25" s="117"/>
      <c r="T25" s="117"/>
      <c r="U25" s="117"/>
      <c r="V25" s="117"/>
      <c r="W25" s="117"/>
      <c r="X25" s="117"/>
      <c r="Y25" s="117"/>
      <c r="Z25" s="117"/>
      <c r="AA25" s="117"/>
      <c r="AB25" s="117"/>
      <c r="AC25" s="117"/>
      <c r="AD25" s="117"/>
      <c r="AE25" s="117"/>
    </row>
    <row r="26" spans="1:31" ht="15.75" customHeight="1" x14ac:dyDescent="0.25">
      <c r="A26" s="628" t="s">
        <v>496</v>
      </c>
      <c r="B26" s="629"/>
      <c r="C26" s="272"/>
      <c r="D26" s="273"/>
      <c r="E26" s="273"/>
      <c r="F26" s="273"/>
      <c r="G26" s="273"/>
      <c r="H26" s="273"/>
      <c r="I26" s="273"/>
      <c r="J26" s="305">
        <f>J20+J25</f>
        <v>526365.62783999997</v>
      </c>
      <c r="K26" s="136"/>
    </row>
    <row r="27" spans="1:31" ht="15.75" customHeight="1" x14ac:dyDescent="0.25">
      <c r="A27" s="117"/>
      <c r="B27" s="275"/>
      <c r="C27" s="276"/>
      <c r="D27" s="275"/>
      <c r="E27" s="275"/>
      <c r="F27" s="275"/>
      <c r="G27" s="275"/>
      <c r="H27" s="275"/>
      <c r="I27" s="275"/>
      <c r="J27" s="137"/>
      <c r="K27" s="138"/>
    </row>
    <row r="28" spans="1:31" ht="208.5" customHeight="1" x14ac:dyDescent="0.25">
      <c r="A28" s="630" t="s">
        <v>497</v>
      </c>
      <c r="B28" s="630"/>
      <c r="C28" s="630"/>
      <c r="D28" s="630"/>
      <c r="E28" s="630"/>
      <c r="F28" s="630"/>
      <c r="G28" s="630"/>
      <c r="H28" s="630"/>
      <c r="I28" s="630"/>
      <c r="J28" s="630"/>
      <c r="K28" s="630"/>
    </row>
    <row r="29" spans="1:31" ht="15.75" customHeight="1" x14ac:dyDescent="0.25">
      <c r="B29" s="631"/>
      <c r="C29" s="631"/>
      <c r="D29" s="631"/>
      <c r="E29" s="631"/>
      <c r="F29" s="631"/>
      <c r="G29" s="631"/>
      <c r="H29" s="631"/>
      <c r="I29" s="631"/>
      <c r="J29" s="631"/>
      <c r="K29" s="631"/>
    </row>
    <row r="30" spans="1:31" ht="21" customHeight="1" x14ac:dyDescent="0.25">
      <c r="B30" s="621" t="s">
        <v>498</v>
      </c>
      <c r="C30" s="621"/>
      <c r="D30" s="621"/>
      <c r="E30" s="621"/>
      <c r="F30" s="621"/>
      <c r="G30" s="621"/>
      <c r="H30" s="621"/>
      <c r="I30" s="621"/>
    </row>
    <row r="32" spans="1:31" ht="26.25" customHeight="1" x14ac:dyDescent="0.25">
      <c r="A32" s="622" t="s">
        <v>463</v>
      </c>
      <c r="B32" s="593" t="s">
        <v>281</v>
      </c>
      <c r="C32" s="593" t="s">
        <v>499</v>
      </c>
      <c r="D32" s="593" t="s">
        <v>283</v>
      </c>
      <c r="E32" s="593" t="s">
        <v>500</v>
      </c>
      <c r="F32" s="624" t="s">
        <v>501</v>
      </c>
      <c r="G32" s="625"/>
      <c r="H32" s="626"/>
      <c r="I32" s="139"/>
    </row>
    <row r="33" spans="1:9" ht="39.75" customHeight="1" x14ac:dyDescent="0.25">
      <c r="A33" s="623"/>
      <c r="B33" s="594"/>
      <c r="C33" s="594"/>
      <c r="D33" s="594"/>
      <c r="E33" s="594"/>
      <c r="F33" s="381" t="s">
        <v>502</v>
      </c>
      <c r="G33" s="367" t="s">
        <v>492</v>
      </c>
      <c r="H33" s="381" t="s">
        <v>466</v>
      </c>
      <c r="I33" s="141"/>
    </row>
    <row r="34" spans="1:9" x14ac:dyDescent="0.25">
      <c r="A34" s="142">
        <v>1</v>
      </c>
      <c r="B34" s="142">
        <v>2</v>
      </c>
      <c r="C34" s="142">
        <v>3</v>
      </c>
      <c r="D34" s="142">
        <v>4</v>
      </c>
      <c r="E34" s="142">
        <v>5</v>
      </c>
      <c r="F34" s="142">
        <v>6</v>
      </c>
      <c r="G34" s="143">
        <v>7</v>
      </c>
      <c r="H34" s="142">
        <v>8</v>
      </c>
      <c r="I34" s="144"/>
    </row>
    <row r="35" spans="1:9" x14ac:dyDescent="0.25">
      <c r="A35" s="129"/>
      <c r="B35" s="306"/>
      <c r="C35" s="129"/>
      <c r="D35" s="129"/>
      <c r="E35" s="129"/>
      <c r="F35" s="281"/>
      <c r="G35" s="280"/>
      <c r="H35" s="281"/>
      <c r="I35" s="117"/>
    </row>
    <row r="36" spans="1:9" x14ac:dyDescent="0.25">
      <c r="A36" s="129"/>
      <c r="B36" s="210"/>
      <c r="C36" s="129"/>
      <c r="D36" s="129"/>
      <c r="E36" s="129"/>
      <c r="F36" s="293"/>
      <c r="G36" s="280"/>
      <c r="H36" s="281"/>
      <c r="I36" s="117"/>
    </row>
    <row r="37" spans="1:9" x14ac:dyDescent="0.25">
      <c r="A37" s="632" t="s">
        <v>260</v>
      </c>
      <c r="B37" s="633"/>
      <c r="C37" s="210" t="s">
        <v>19</v>
      </c>
      <c r="D37" s="210" t="s">
        <v>19</v>
      </c>
      <c r="E37" s="210" t="s">
        <v>19</v>
      </c>
      <c r="F37" s="294">
        <f>F35</f>
        <v>0</v>
      </c>
      <c r="G37" s="280">
        <f>G35</f>
        <v>0</v>
      </c>
      <c r="H37" s="281">
        <f>H35</f>
        <v>0</v>
      </c>
      <c r="I37" s="117"/>
    </row>
    <row r="39" spans="1:9" x14ac:dyDescent="0.25">
      <c r="B39" s="638" t="s">
        <v>670</v>
      </c>
      <c r="C39" s="638"/>
      <c r="D39" s="638"/>
      <c r="E39" s="638"/>
      <c r="F39" s="638"/>
    </row>
    <row r="41" spans="1:9" ht="26.25" customHeight="1" x14ac:dyDescent="0.25">
      <c r="A41" s="622" t="s">
        <v>463</v>
      </c>
      <c r="B41" s="593" t="s">
        <v>281</v>
      </c>
      <c r="C41" s="593" t="s">
        <v>286</v>
      </c>
      <c r="D41" s="593" t="s">
        <v>287</v>
      </c>
      <c r="E41" s="593" t="s">
        <v>503</v>
      </c>
      <c r="F41" s="637" t="s">
        <v>501</v>
      </c>
      <c r="G41" s="637"/>
      <c r="H41" s="637"/>
      <c r="I41" s="139"/>
    </row>
    <row r="42" spans="1:9" ht="51" customHeight="1" x14ac:dyDescent="0.25">
      <c r="A42" s="623"/>
      <c r="B42" s="594"/>
      <c r="C42" s="594"/>
      <c r="D42" s="594"/>
      <c r="E42" s="594"/>
      <c r="F42" s="381" t="s">
        <v>502</v>
      </c>
      <c r="G42" s="381" t="s">
        <v>492</v>
      </c>
      <c r="H42" s="381" t="s">
        <v>466</v>
      </c>
      <c r="I42" s="141"/>
    </row>
    <row r="43" spans="1:9" x14ac:dyDescent="0.25">
      <c r="A43" s="210">
        <v>1</v>
      </c>
      <c r="B43" s="142">
        <v>2</v>
      </c>
      <c r="C43" s="142">
        <v>3</v>
      </c>
      <c r="D43" s="142">
        <v>4</v>
      </c>
      <c r="E43" s="142">
        <v>5</v>
      </c>
      <c r="F43" s="142">
        <v>6</v>
      </c>
      <c r="G43" s="142">
        <v>7</v>
      </c>
      <c r="H43" s="142">
        <v>8</v>
      </c>
      <c r="I43" s="144"/>
    </row>
    <row r="44" spans="1:9" x14ac:dyDescent="0.25">
      <c r="A44" s="210">
        <v>1</v>
      </c>
      <c r="B44" s="210" t="s">
        <v>705</v>
      </c>
      <c r="C44" s="388">
        <v>1</v>
      </c>
      <c r="D44" s="388">
        <v>1</v>
      </c>
      <c r="E44" s="388">
        <v>1</v>
      </c>
      <c r="F44" s="294">
        <f>G44</f>
        <v>2000</v>
      </c>
      <c r="G44" s="281">
        <v>2000</v>
      </c>
      <c r="H44" s="281"/>
      <c r="I44" s="117"/>
    </row>
    <row r="45" spans="1:9" x14ac:dyDescent="0.25">
      <c r="A45" s="632" t="s">
        <v>260</v>
      </c>
      <c r="B45" s="633"/>
      <c r="C45" s="210" t="s">
        <v>19</v>
      </c>
      <c r="D45" s="210" t="s">
        <v>19</v>
      </c>
      <c r="E45" s="210" t="s">
        <v>19</v>
      </c>
      <c r="F45" s="294">
        <f>G45</f>
        <v>2000</v>
      </c>
      <c r="G45" s="281">
        <f>G44</f>
        <v>2000</v>
      </c>
      <c r="H45" s="281">
        <v>0</v>
      </c>
      <c r="I45" s="117"/>
    </row>
    <row r="47" spans="1:9" ht="33" customHeight="1" x14ac:dyDescent="0.25">
      <c r="B47" s="634" t="s">
        <v>504</v>
      </c>
      <c r="C47" s="634"/>
      <c r="D47" s="634"/>
      <c r="E47" s="634"/>
      <c r="F47" s="634"/>
      <c r="G47" s="634"/>
      <c r="H47" s="634"/>
      <c r="I47" s="634"/>
    </row>
    <row r="49" spans="1:9" ht="31.5" customHeight="1" x14ac:dyDescent="0.25">
      <c r="A49" s="635" t="s">
        <v>463</v>
      </c>
      <c r="B49" s="637" t="s">
        <v>262</v>
      </c>
      <c r="C49" s="637"/>
      <c r="D49" s="637"/>
      <c r="E49" s="593" t="s">
        <v>505</v>
      </c>
      <c r="F49" s="637" t="s">
        <v>506</v>
      </c>
      <c r="G49" s="637"/>
      <c r="H49" s="637"/>
      <c r="I49" s="146"/>
    </row>
    <row r="50" spans="1:9" ht="48.75" customHeight="1" x14ac:dyDescent="0.25">
      <c r="A50" s="636"/>
      <c r="B50" s="637"/>
      <c r="C50" s="637"/>
      <c r="D50" s="637"/>
      <c r="E50" s="594"/>
      <c r="F50" s="381" t="s">
        <v>507</v>
      </c>
      <c r="G50" s="381" t="s">
        <v>492</v>
      </c>
      <c r="H50" s="381" t="s">
        <v>466</v>
      </c>
      <c r="I50" s="141"/>
    </row>
    <row r="51" spans="1:9" ht="17.25" customHeight="1" x14ac:dyDescent="0.25">
      <c r="A51" s="199">
        <v>1</v>
      </c>
      <c r="B51" s="645">
        <v>2</v>
      </c>
      <c r="C51" s="645"/>
      <c r="D51" s="645"/>
      <c r="E51" s="210">
        <v>3</v>
      </c>
      <c r="F51" s="210">
        <v>4</v>
      </c>
      <c r="G51" s="210">
        <v>5</v>
      </c>
      <c r="H51" s="210">
        <v>6</v>
      </c>
      <c r="I51" s="147"/>
    </row>
    <row r="52" spans="1:9" s="209" customFormat="1" ht="32.25" customHeight="1" x14ac:dyDescent="0.25">
      <c r="A52" s="148">
        <v>1</v>
      </c>
      <c r="B52" s="642" t="s">
        <v>265</v>
      </c>
      <c r="C52" s="643"/>
      <c r="D52" s="644"/>
      <c r="E52" s="281" t="s">
        <v>19</v>
      </c>
      <c r="F52" s="281">
        <f>G52</f>
        <v>115800.4381248</v>
      </c>
      <c r="G52" s="281">
        <f>G53</f>
        <v>115800.4381248</v>
      </c>
      <c r="H52" s="281"/>
      <c r="I52" s="117"/>
    </row>
    <row r="53" spans="1:9" ht="34.5" customHeight="1" x14ac:dyDescent="0.25">
      <c r="A53" s="148" t="s">
        <v>290</v>
      </c>
      <c r="B53" s="642" t="s">
        <v>508</v>
      </c>
      <c r="C53" s="643"/>
      <c r="D53" s="644"/>
      <c r="E53" s="281">
        <f>J26</f>
        <v>526365.62783999997</v>
      </c>
      <c r="F53" s="281">
        <f>G53</f>
        <v>115800.4381248</v>
      </c>
      <c r="G53" s="281">
        <f>E53*22%</f>
        <v>115800.4381248</v>
      </c>
      <c r="H53" s="281"/>
      <c r="I53" s="117"/>
    </row>
    <row r="54" spans="1:9" ht="16.5" customHeight="1" x14ac:dyDescent="0.25">
      <c r="A54" s="148" t="s">
        <v>202</v>
      </c>
      <c r="B54" s="642" t="s">
        <v>267</v>
      </c>
      <c r="C54" s="643"/>
      <c r="D54" s="644"/>
      <c r="E54" s="281"/>
      <c r="F54" s="281"/>
      <c r="G54" s="281"/>
      <c r="H54" s="281"/>
      <c r="I54" s="117"/>
    </row>
    <row r="55" spans="1:9" ht="34.5" customHeight="1" x14ac:dyDescent="0.25">
      <c r="A55" s="148" t="s">
        <v>203</v>
      </c>
      <c r="B55" s="642" t="s">
        <v>268</v>
      </c>
      <c r="C55" s="643"/>
      <c r="D55" s="644"/>
      <c r="E55" s="281"/>
      <c r="F55" s="281"/>
      <c r="G55" s="281"/>
      <c r="H55" s="281"/>
      <c r="I55" s="117"/>
    </row>
    <row r="56" spans="1:9" ht="33" customHeight="1" x14ac:dyDescent="0.25">
      <c r="A56" s="148" t="s">
        <v>80</v>
      </c>
      <c r="B56" s="642" t="s">
        <v>269</v>
      </c>
      <c r="C56" s="643"/>
      <c r="D56" s="644"/>
      <c r="E56" s="281" t="s">
        <v>19</v>
      </c>
      <c r="F56" s="281">
        <f>G56</f>
        <v>16317.334463039999</v>
      </c>
      <c r="G56" s="281">
        <f>G57+G59</f>
        <v>16317.334463039999</v>
      </c>
      <c r="H56" s="281"/>
      <c r="I56" s="117"/>
    </row>
    <row r="57" spans="1:9" ht="41.25" customHeight="1" x14ac:dyDescent="0.25">
      <c r="A57" s="148" t="s">
        <v>509</v>
      </c>
      <c r="B57" s="639" t="s">
        <v>510</v>
      </c>
      <c r="C57" s="640"/>
      <c r="D57" s="641"/>
      <c r="E57" s="281">
        <f>E53</f>
        <v>526365.62783999997</v>
      </c>
      <c r="F57" s="281">
        <f>G57</f>
        <v>15264.603207359998</v>
      </c>
      <c r="G57" s="281">
        <f>E57*2.9%</f>
        <v>15264.603207359998</v>
      </c>
      <c r="H57" s="281"/>
      <c r="I57" s="117"/>
    </row>
    <row r="58" spans="1:9" ht="34.5" customHeight="1" x14ac:dyDescent="0.25">
      <c r="A58" s="148" t="s">
        <v>511</v>
      </c>
      <c r="B58" s="642" t="s">
        <v>271</v>
      </c>
      <c r="C58" s="643"/>
      <c r="D58" s="644"/>
      <c r="E58" s="281"/>
      <c r="F58" s="281"/>
      <c r="G58" s="281"/>
      <c r="H58" s="281"/>
      <c r="I58" s="117"/>
    </row>
    <row r="59" spans="1:9" ht="33.75" customHeight="1" x14ac:dyDescent="0.25">
      <c r="A59" s="148" t="s">
        <v>512</v>
      </c>
      <c r="B59" s="642" t="s">
        <v>272</v>
      </c>
      <c r="C59" s="643"/>
      <c r="D59" s="644"/>
      <c r="E59" s="281">
        <f>E57</f>
        <v>526365.62783999997</v>
      </c>
      <c r="F59" s="281">
        <f>G59</f>
        <v>1052.73125568</v>
      </c>
      <c r="G59" s="281">
        <f>E59*0.2%</f>
        <v>1052.73125568</v>
      </c>
      <c r="H59" s="281"/>
      <c r="I59" s="117"/>
    </row>
    <row r="60" spans="1:9" ht="33.75" customHeight="1" x14ac:dyDescent="0.25">
      <c r="A60" s="148" t="s">
        <v>513</v>
      </c>
      <c r="B60" s="642" t="s">
        <v>514</v>
      </c>
      <c r="C60" s="643"/>
      <c r="D60" s="644"/>
      <c r="E60" s="281"/>
      <c r="F60" s="281"/>
      <c r="G60" s="281"/>
      <c r="H60" s="281"/>
      <c r="I60" s="117"/>
    </row>
    <row r="61" spans="1:9" ht="39.75" customHeight="1" x14ac:dyDescent="0.25">
      <c r="A61" s="148" t="s">
        <v>515</v>
      </c>
      <c r="B61" s="642" t="s">
        <v>514</v>
      </c>
      <c r="C61" s="643"/>
      <c r="D61" s="644"/>
      <c r="E61" s="281"/>
      <c r="F61" s="281"/>
      <c r="G61" s="281"/>
      <c r="H61" s="281"/>
      <c r="I61" s="117"/>
    </row>
    <row r="62" spans="1:9" ht="30" customHeight="1" x14ac:dyDescent="0.25">
      <c r="A62" s="148" t="s">
        <v>161</v>
      </c>
      <c r="B62" s="642" t="s">
        <v>273</v>
      </c>
      <c r="C62" s="643"/>
      <c r="D62" s="644"/>
      <c r="E62" s="281">
        <f>E59</f>
        <v>526365.62783999997</v>
      </c>
      <c r="F62" s="281">
        <f>G62</f>
        <v>26844.627019839998</v>
      </c>
      <c r="G62" s="281">
        <f>E62*5.1%-0.02</f>
        <v>26844.627019839998</v>
      </c>
      <c r="H62" s="281"/>
      <c r="I62" s="117"/>
    </row>
    <row r="63" spans="1:9" ht="30.75" customHeight="1" x14ac:dyDescent="0.25">
      <c r="A63" s="654" t="s">
        <v>260</v>
      </c>
      <c r="B63" s="654"/>
      <c r="C63" s="654"/>
      <c r="D63" s="654"/>
      <c r="E63" s="210" t="s">
        <v>19</v>
      </c>
      <c r="F63" s="290">
        <f>F52+F56+F62</f>
        <v>158962.39960768001</v>
      </c>
      <c r="G63" s="290">
        <f>G52+G56+G62</f>
        <v>158962.39960768001</v>
      </c>
      <c r="H63" s="289">
        <f>H52+H56+H62</f>
        <v>0</v>
      </c>
      <c r="I63" s="117"/>
    </row>
    <row r="64" spans="1:9" ht="16.5" customHeight="1" x14ac:dyDescent="0.25">
      <c r="B64" s="149"/>
      <c r="C64" s="149"/>
      <c r="D64" s="149"/>
      <c r="E64" s="147"/>
      <c r="F64" s="117"/>
    </row>
    <row r="65" spans="1:49" ht="99" customHeight="1" x14ac:dyDescent="0.25">
      <c r="A65" s="655" t="s">
        <v>516</v>
      </c>
      <c r="B65" s="655"/>
      <c r="C65" s="655"/>
      <c r="D65" s="655"/>
      <c r="E65" s="655"/>
      <c r="F65" s="655"/>
      <c r="G65" s="655"/>
      <c r="H65" s="655"/>
      <c r="I65" s="655"/>
      <c r="J65" s="655"/>
      <c r="K65" s="655"/>
    </row>
    <row r="66" spans="1:49" ht="21" customHeight="1" x14ac:dyDescent="0.25">
      <c r="B66" s="656"/>
      <c r="C66" s="656"/>
      <c r="D66" s="656"/>
      <c r="E66" s="656"/>
      <c r="F66" s="656"/>
    </row>
    <row r="67" spans="1:49" s="150" customFormat="1" ht="27" customHeight="1" x14ac:dyDescent="0.25">
      <c r="A67" s="657" t="s">
        <v>517</v>
      </c>
      <c r="B67" s="657"/>
      <c r="C67" s="657"/>
      <c r="D67" s="657"/>
      <c r="E67" s="657"/>
      <c r="F67" s="657"/>
      <c r="G67" s="657"/>
      <c r="H67" s="657"/>
      <c r="I67" s="657"/>
      <c r="J67" s="657"/>
      <c r="K67" s="657"/>
    </row>
    <row r="68" spans="1:49" s="150" customFormat="1" ht="16.5" customHeight="1" x14ac:dyDescent="0.25">
      <c r="A68" s="203"/>
      <c r="B68" s="203"/>
      <c r="C68" s="203"/>
      <c r="D68" s="203"/>
      <c r="E68" s="203"/>
      <c r="F68" s="203"/>
      <c r="G68" s="203"/>
      <c r="H68" s="203"/>
      <c r="I68" s="203"/>
      <c r="J68" s="203"/>
      <c r="K68" s="203"/>
    </row>
    <row r="69" spans="1:49" ht="15.75" customHeight="1" x14ac:dyDescent="0.25">
      <c r="B69" s="118" t="s">
        <v>518</v>
      </c>
      <c r="C69" s="118"/>
      <c r="K69" s="117"/>
      <c r="L69" s="117"/>
      <c r="M69" s="117"/>
      <c r="N69" s="117"/>
      <c r="O69" s="117"/>
      <c r="P69" s="117"/>
      <c r="Q69" s="117"/>
      <c r="R69" s="117"/>
      <c r="S69" s="117"/>
      <c r="T69" s="117"/>
      <c r="U69" s="117"/>
      <c r="V69" s="117"/>
      <c r="W69" s="117"/>
      <c r="X69" s="117"/>
      <c r="Y69" s="117"/>
      <c r="Z69" s="117"/>
      <c r="AA69" s="117"/>
      <c r="AB69" s="117"/>
      <c r="AC69" s="117"/>
      <c r="AD69" s="117"/>
      <c r="AE69" s="117"/>
    </row>
    <row r="70" spans="1:49" ht="15.75" customHeight="1" x14ac:dyDescent="0.25">
      <c r="B70" s="94"/>
      <c r="K70" s="117"/>
      <c r="L70" s="117"/>
      <c r="M70" s="117"/>
      <c r="N70" s="117"/>
      <c r="O70" s="117"/>
      <c r="P70" s="117"/>
      <c r="Q70" s="117"/>
      <c r="R70" s="117"/>
      <c r="S70" s="117"/>
      <c r="T70" s="117"/>
      <c r="U70" s="117"/>
      <c r="V70" s="117"/>
      <c r="W70" s="117"/>
      <c r="X70" s="117"/>
      <c r="Y70" s="117"/>
      <c r="Z70" s="117"/>
      <c r="AA70" s="117"/>
      <c r="AB70" s="117"/>
      <c r="AC70" s="117"/>
      <c r="AD70" s="117"/>
      <c r="AE70" s="117"/>
    </row>
    <row r="71" spans="1:49" ht="15.75" customHeight="1" x14ac:dyDescent="0.25">
      <c r="B71" s="118" t="s">
        <v>351</v>
      </c>
      <c r="C71" s="118"/>
      <c r="D71" s="118" t="s">
        <v>568</v>
      </c>
      <c r="E71" s="118"/>
      <c r="K71" s="117"/>
      <c r="L71" s="117"/>
      <c r="M71" s="117"/>
      <c r="N71" s="117"/>
      <c r="O71" s="117"/>
      <c r="P71" s="117"/>
      <c r="Q71" s="117"/>
      <c r="R71" s="117"/>
      <c r="S71" s="117"/>
      <c r="T71" s="117"/>
      <c r="U71" s="117"/>
      <c r="V71" s="117"/>
      <c r="W71" s="117"/>
      <c r="X71" s="117"/>
      <c r="Y71" s="117"/>
      <c r="Z71" s="117"/>
      <c r="AA71" s="117"/>
      <c r="AB71" s="117"/>
      <c r="AC71" s="117"/>
      <c r="AD71" s="117"/>
      <c r="AE71" s="117"/>
    </row>
    <row r="72" spans="1:49" ht="15.75" customHeight="1" x14ac:dyDescent="0.25">
      <c r="B72" s="94"/>
      <c r="K72" s="117"/>
      <c r="L72" s="117"/>
      <c r="M72" s="117"/>
      <c r="N72" s="117"/>
      <c r="O72" s="117"/>
      <c r="P72" s="117"/>
      <c r="Q72" s="117"/>
      <c r="R72" s="117"/>
      <c r="S72" s="117"/>
      <c r="T72" s="117"/>
      <c r="U72" s="117"/>
      <c r="V72" s="117"/>
      <c r="W72" s="117"/>
      <c r="X72" s="117"/>
      <c r="Y72" s="117"/>
      <c r="Z72" s="117"/>
      <c r="AA72" s="117"/>
      <c r="AB72" s="117"/>
      <c r="AC72" s="117"/>
      <c r="AD72" s="117"/>
      <c r="AE72" s="117"/>
    </row>
    <row r="73" spans="1:49" s="150" customFormat="1" ht="15.75" customHeight="1" x14ac:dyDescent="0.25">
      <c r="A73" s="635" t="s">
        <v>463</v>
      </c>
      <c r="B73" s="592" t="s">
        <v>9</v>
      </c>
      <c r="C73" s="592"/>
      <c r="D73" s="592"/>
      <c r="E73" s="592" t="s">
        <v>300</v>
      </c>
      <c r="F73" s="592" t="s">
        <v>520</v>
      </c>
      <c r="G73" s="624" t="s">
        <v>506</v>
      </c>
      <c r="H73" s="625"/>
      <c r="I73" s="626"/>
    </row>
    <row r="74" spans="1:49" s="150" customFormat="1" ht="51" customHeight="1" x14ac:dyDescent="0.25">
      <c r="A74" s="636"/>
      <c r="B74" s="592"/>
      <c r="C74" s="592"/>
      <c r="D74" s="592"/>
      <c r="E74" s="592"/>
      <c r="F74" s="592"/>
      <c r="G74" s="381" t="s">
        <v>521</v>
      </c>
      <c r="H74" s="367" t="s">
        <v>492</v>
      </c>
      <c r="I74" s="381" t="s">
        <v>466</v>
      </c>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row>
    <row r="75" spans="1:49" s="150" customFormat="1" x14ac:dyDescent="0.25">
      <c r="A75" s="368">
        <v>1</v>
      </c>
      <c r="B75" s="646">
        <v>2</v>
      </c>
      <c r="C75" s="646"/>
      <c r="D75" s="646"/>
      <c r="E75" s="368">
        <v>3</v>
      </c>
      <c r="F75" s="152">
        <v>4</v>
      </c>
      <c r="G75" s="153">
        <v>4</v>
      </c>
      <c r="H75" s="154">
        <v>5</v>
      </c>
      <c r="I75" s="153">
        <v>6</v>
      </c>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row>
    <row r="76" spans="1:49" s="150" customFormat="1" ht="32.25" customHeight="1" x14ac:dyDescent="0.25">
      <c r="A76" s="155" t="s">
        <v>448</v>
      </c>
      <c r="B76" s="680" t="s">
        <v>569</v>
      </c>
      <c r="C76" s="680"/>
      <c r="D76" s="680"/>
      <c r="E76" s="156">
        <v>62.51</v>
      </c>
      <c r="F76" s="157"/>
      <c r="G76" s="281"/>
      <c r="H76" s="280"/>
      <c r="I76" s="281"/>
      <c r="L76" s="134"/>
      <c r="M76" s="134"/>
      <c r="N76" s="134"/>
      <c r="O76" s="134"/>
      <c r="P76" s="134"/>
      <c r="Q76" s="134"/>
      <c r="R76" s="134"/>
      <c r="S76" s="134"/>
      <c r="T76" s="134"/>
      <c r="U76" s="134"/>
      <c r="V76" s="134"/>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row>
    <row r="77" spans="1:49" s="150" customFormat="1" ht="30.75" customHeight="1" x14ac:dyDescent="0.25">
      <c r="A77" s="155" t="s">
        <v>80</v>
      </c>
      <c r="B77" s="680" t="s">
        <v>570</v>
      </c>
      <c r="C77" s="680"/>
      <c r="D77" s="680"/>
      <c r="E77" s="156">
        <v>62.51</v>
      </c>
      <c r="F77" s="157"/>
      <c r="G77" s="281"/>
      <c r="H77" s="280"/>
      <c r="I77" s="281"/>
      <c r="L77" s="134"/>
      <c r="M77" s="134"/>
      <c r="N77" s="134"/>
      <c r="O77" s="134"/>
      <c r="P77" s="134"/>
      <c r="Q77" s="134"/>
      <c r="R77" s="134"/>
      <c r="S77" s="134"/>
      <c r="T77" s="134"/>
      <c r="U77" s="134"/>
      <c r="V77" s="134"/>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row>
    <row r="78" spans="1:49" s="150" customFormat="1" ht="35.25" customHeight="1" x14ac:dyDescent="0.25">
      <c r="A78" s="155" t="s">
        <v>161</v>
      </c>
      <c r="B78" s="680" t="s">
        <v>571</v>
      </c>
      <c r="C78" s="680"/>
      <c r="D78" s="680"/>
      <c r="E78" s="156">
        <v>2628</v>
      </c>
      <c r="F78" s="157"/>
      <c r="G78" s="281"/>
      <c r="H78" s="280"/>
      <c r="I78" s="281"/>
      <c r="L78" s="134"/>
      <c r="M78" s="134"/>
      <c r="N78" s="134"/>
      <c r="O78" s="134"/>
      <c r="P78" s="134"/>
      <c r="Q78" s="134"/>
      <c r="R78" s="134"/>
      <c r="S78" s="134"/>
      <c r="T78" s="134"/>
      <c r="U78" s="134"/>
      <c r="V78" s="134"/>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row>
    <row r="79" spans="1:49" s="150" customFormat="1" ht="31.5" customHeight="1" x14ac:dyDescent="0.25">
      <c r="A79" s="155" t="s">
        <v>125</v>
      </c>
      <c r="B79" s="680" t="s">
        <v>572</v>
      </c>
      <c r="C79" s="680"/>
      <c r="D79" s="680"/>
      <c r="E79" s="156">
        <v>2605</v>
      </c>
      <c r="F79" s="157"/>
      <c r="G79" s="281"/>
      <c r="H79" s="280"/>
      <c r="I79" s="281"/>
      <c r="L79" s="134"/>
      <c r="M79" s="134"/>
      <c r="N79" s="134"/>
      <c r="O79" s="134"/>
      <c r="P79" s="134"/>
      <c r="Q79" s="134"/>
      <c r="R79" s="134"/>
      <c r="S79" s="134"/>
      <c r="T79" s="134"/>
      <c r="U79" s="134"/>
      <c r="V79" s="134"/>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row>
    <row r="80" spans="1:49" s="150" customFormat="1" ht="36.75" customHeight="1" x14ac:dyDescent="0.25">
      <c r="A80" s="155" t="s">
        <v>424</v>
      </c>
      <c r="B80" s="680" t="s">
        <v>573</v>
      </c>
      <c r="C80" s="680"/>
      <c r="D80" s="680"/>
      <c r="E80" s="156">
        <v>62.51</v>
      </c>
      <c r="F80" s="157"/>
      <c r="G80" s="281"/>
      <c r="H80" s="280"/>
      <c r="I80" s="281"/>
      <c r="L80" s="134"/>
      <c r="M80" s="134"/>
      <c r="N80" s="134"/>
      <c r="O80" s="134"/>
      <c r="P80" s="134"/>
      <c r="Q80" s="134"/>
      <c r="R80" s="134"/>
      <c r="S80" s="134"/>
      <c r="T80" s="134"/>
      <c r="U80" s="134"/>
      <c r="V80" s="134"/>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row>
    <row r="81" spans="1:49" s="150" customFormat="1" ht="36.75" customHeight="1" x14ac:dyDescent="0.25">
      <c r="A81" s="155" t="s">
        <v>428</v>
      </c>
      <c r="B81" s="680" t="s">
        <v>574</v>
      </c>
      <c r="C81" s="680"/>
      <c r="D81" s="680"/>
      <c r="E81" s="156">
        <v>106.86</v>
      </c>
      <c r="F81" s="157"/>
      <c r="G81" s="281"/>
      <c r="H81" s="280"/>
      <c r="I81" s="281"/>
      <c r="L81" s="134"/>
      <c r="M81" s="134"/>
      <c r="N81" s="134"/>
      <c r="O81" s="134"/>
      <c r="P81" s="134"/>
      <c r="Q81" s="134"/>
      <c r="R81" s="134"/>
      <c r="S81" s="134"/>
      <c r="T81" s="134"/>
      <c r="U81" s="134"/>
      <c r="V81" s="134"/>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row>
    <row r="82" spans="1:49" s="150" customFormat="1" ht="36.75" customHeight="1" x14ac:dyDescent="0.25">
      <c r="A82" s="155" t="s">
        <v>575</v>
      </c>
      <c r="B82" s="681" t="s">
        <v>668</v>
      </c>
      <c r="C82" s="682"/>
      <c r="D82" s="683"/>
      <c r="E82" s="156">
        <v>1766.42</v>
      </c>
      <c r="F82" s="157"/>
      <c r="G82" s="281">
        <f>H82</f>
        <v>63591</v>
      </c>
      <c r="H82" s="280">
        <v>63591</v>
      </c>
      <c r="I82" s="281"/>
      <c r="L82" s="134"/>
      <c r="M82" s="134"/>
      <c r="N82" s="134"/>
      <c r="O82" s="134"/>
      <c r="P82" s="134"/>
      <c r="Q82" s="134"/>
      <c r="R82" s="134"/>
      <c r="S82" s="134"/>
      <c r="T82" s="134"/>
      <c r="U82" s="134"/>
      <c r="V82" s="134"/>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row>
    <row r="83" spans="1:49" s="150" customFormat="1" ht="36.75" customHeight="1" x14ac:dyDescent="0.25">
      <c r="A83" s="155" t="s">
        <v>576</v>
      </c>
      <c r="B83" s="681" t="s">
        <v>669</v>
      </c>
      <c r="C83" s="682"/>
      <c r="D83" s="683"/>
      <c r="E83" s="281">
        <v>1000</v>
      </c>
      <c r="F83" s="157"/>
      <c r="G83" s="281"/>
      <c r="H83" s="280"/>
      <c r="I83" s="281"/>
      <c r="L83" s="134"/>
      <c r="M83" s="134"/>
      <c r="N83" s="134"/>
      <c r="O83" s="134"/>
      <c r="P83" s="134"/>
      <c r="Q83" s="134"/>
      <c r="R83" s="134"/>
      <c r="S83" s="134"/>
      <c r="T83" s="134"/>
      <c r="U83" s="134"/>
      <c r="V83" s="134"/>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row>
    <row r="84" spans="1:49" s="150" customFormat="1" x14ac:dyDescent="0.25">
      <c r="A84" s="650" t="s">
        <v>496</v>
      </c>
      <c r="B84" s="651"/>
      <c r="C84" s="651"/>
      <c r="D84" s="652"/>
      <c r="E84" s="156" t="s">
        <v>19</v>
      </c>
      <c r="F84" s="158" t="s">
        <v>19</v>
      </c>
      <c r="G84" s="294">
        <f>H84</f>
        <v>63591</v>
      </c>
      <c r="H84" s="280">
        <f>SUM(H76:H83)</f>
        <v>63591</v>
      </c>
      <c r="I84" s="281">
        <f>SUM(I76:I83)</f>
        <v>0</v>
      </c>
      <c r="L84" s="134"/>
      <c r="M84" s="134"/>
      <c r="N84" s="134"/>
      <c r="O84" s="134"/>
      <c r="P84" s="134"/>
      <c r="Q84" s="134"/>
      <c r="R84" s="134"/>
      <c r="S84" s="134"/>
      <c r="T84" s="134"/>
      <c r="U84" s="134"/>
      <c r="V84" s="134"/>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row>
    <row r="85" spans="1:49" s="150" customFormat="1" x14ac:dyDescent="0.25">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row>
    <row r="86" spans="1:49" s="150" customFormat="1" ht="69" customHeight="1" x14ac:dyDescent="0.25">
      <c r="A86" s="653" t="s">
        <v>522</v>
      </c>
      <c r="B86" s="653"/>
      <c r="C86" s="653"/>
      <c r="D86" s="653"/>
      <c r="E86" s="653"/>
      <c r="F86" s="653"/>
      <c r="G86" s="653"/>
      <c r="H86" s="653"/>
      <c r="I86" s="653"/>
      <c r="J86" s="653"/>
      <c r="K86" s="653"/>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row>
    <row r="87" spans="1:49" s="150" customFormat="1" x14ac:dyDescent="0.25"/>
    <row r="88" spans="1:49" ht="15.75" customHeight="1" x14ac:dyDescent="0.25">
      <c r="A88" s="657" t="s">
        <v>523</v>
      </c>
      <c r="B88" s="657"/>
      <c r="C88" s="657"/>
      <c r="D88" s="657"/>
      <c r="E88" s="657"/>
      <c r="F88" s="657"/>
      <c r="G88" s="657"/>
      <c r="H88" s="657"/>
      <c r="I88" s="657"/>
      <c r="J88" s="657"/>
      <c r="K88" s="657"/>
    </row>
    <row r="89" spans="1:49" ht="15.75" customHeight="1" x14ac:dyDescent="0.25">
      <c r="A89" s="203"/>
      <c r="B89" s="203"/>
      <c r="C89" s="203"/>
      <c r="D89" s="203"/>
      <c r="E89" s="203"/>
      <c r="F89" s="203"/>
      <c r="G89" s="203"/>
      <c r="H89" s="203"/>
      <c r="I89" s="203"/>
      <c r="J89" s="203"/>
      <c r="K89" s="203"/>
    </row>
    <row r="90" spans="1:49" ht="15.75" customHeight="1" x14ac:dyDescent="0.25">
      <c r="B90" s="118" t="s">
        <v>524</v>
      </c>
      <c r="C90" s="118"/>
      <c r="K90" s="117"/>
      <c r="L90" s="117"/>
      <c r="M90" s="117"/>
      <c r="N90" s="117"/>
      <c r="O90" s="117"/>
      <c r="P90" s="117"/>
      <c r="Q90" s="117"/>
      <c r="R90" s="117"/>
      <c r="S90" s="117"/>
      <c r="T90" s="117"/>
      <c r="U90" s="117"/>
      <c r="V90" s="117"/>
      <c r="W90" s="117"/>
      <c r="X90" s="117"/>
      <c r="Y90" s="117"/>
      <c r="Z90" s="117"/>
      <c r="AA90" s="117"/>
      <c r="AB90" s="117"/>
      <c r="AC90" s="117"/>
      <c r="AD90" s="117"/>
      <c r="AE90" s="117"/>
    </row>
    <row r="91" spans="1:49" ht="15.75" customHeight="1" x14ac:dyDescent="0.25">
      <c r="B91" s="94"/>
      <c r="K91" s="117"/>
      <c r="L91" s="117"/>
      <c r="M91" s="117"/>
      <c r="N91" s="117"/>
      <c r="O91" s="117"/>
      <c r="P91" s="117"/>
      <c r="Q91" s="117"/>
      <c r="R91" s="117"/>
      <c r="S91" s="117"/>
      <c r="T91" s="117"/>
      <c r="U91" s="117"/>
      <c r="V91" s="117"/>
      <c r="W91" s="117"/>
      <c r="X91" s="117"/>
      <c r="Y91" s="117"/>
      <c r="Z91" s="117"/>
      <c r="AA91" s="117"/>
      <c r="AB91" s="117"/>
      <c r="AC91" s="117"/>
      <c r="AD91" s="117"/>
      <c r="AE91" s="117"/>
    </row>
    <row r="92" spans="1:49" ht="15.75" customHeight="1" x14ac:dyDescent="0.25">
      <c r="B92" s="118" t="s">
        <v>351</v>
      </c>
      <c r="C92" s="118"/>
      <c r="D92" s="118" t="s">
        <v>568</v>
      </c>
      <c r="E92" s="118"/>
      <c r="K92" s="117"/>
      <c r="L92" s="117"/>
      <c r="M92" s="117"/>
      <c r="N92" s="117"/>
      <c r="O92" s="117"/>
      <c r="P92" s="117"/>
      <c r="Q92" s="117"/>
      <c r="R92" s="117"/>
      <c r="S92" s="117"/>
      <c r="T92" s="117"/>
      <c r="U92" s="117"/>
      <c r="V92" s="117"/>
      <c r="W92" s="117"/>
      <c r="X92" s="117"/>
      <c r="Y92" s="117"/>
      <c r="Z92" s="117"/>
      <c r="AA92" s="117"/>
      <c r="AB92" s="117"/>
      <c r="AC92" s="117"/>
      <c r="AD92" s="117"/>
      <c r="AE92" s="117"/>
    </row>
    <row r="93" spans="1:49" ht="15.75" customHeight="1" x14ac:dyDescent="0.25">
      <c r="A93" s="119"/>
      <c r="B93" s="119"/>
      <c r="C93" s="119"/>
      <c r="D93" s="119"/>
    </row>
    <row r="94" spans="1:49" ht="15.75" customHeight="1" x14ac:dyDescent="0.25">
      <c r="A94" s="635" t="s">
        <v>463</v>
      </c>
      <c r="B94" s="637" t="s">
        <v>525</v>
      </c>
      <c r="C94" s="637"/>
      <c r="D94" s="593" t="s">
        <v>305</v>
      </c>
      <c r="E94" s="593" t="s">
        <v>306</v>
      </c>
      <c r="F94" s="624" t="s">
        <v>506</v>
      </c>
      <c r="G94" s="625"/>
      <c r="H94" s="626"/>
    </row>
    <row r="95" spans="1:49" ht="51.75" customHeight="1" x14ac:dyDescent="0.25">
      <c r="A95" s="636"/>
      <c r="B95" s="637"/>
      <c r="C95" s="637"/>
      <c r="D95" s="594"/>
      <c r="E95" s="594"/>
      <c r="F95" s="369" t="s">
        <v>307</v>
      </c>
      <c r="G95" s="367" t="s">
        <v>492</v>
      </c>
      <c r="H95" s="381" t="s">
        <v>466</v>
      </c>
    </row>
    <row r="96" spans="1:49" x14ac:dyDescent="0.25">
      <c r="A96" s="202">
        <v>1</v>
      </c>
      <c r="B96" s="658">
        <v>2</v>
      </c>
      <c r="C96" s="658"/>
      <c r="D96" s="202">
        <v>3</v>
      </c>
      <c r="E96" s="202">
        <v>4</v>
      </c>
      <c r="F96" s="202">
        <v>5</v>
      </c>
      <c r="G96" s="162">
        <v>6</v>
      </c>
      <c r="H96" s="202">
        <v>7</v>
      </c>
    </row>
    <row r="97" spans="1:50" x14ac:dyDescent="0.25">
      <c r="A97" s="210"/>
      <c r="B97" s="659"/>
      <c r="C97" s="659"/>
      <c r="D97" s="163"/>
      <c r="E97" s="163"/>
      <c r="F97" s="281"/>
      <c r="G97" s="280"/>
      <c r="H97" s="281"/>
    </row>
    <row r="98" spans="1:50" x14ac:dyDescent="0.25">
      <c r="A98" s="210"/>
      <c r="B98" s="659"/>
      <c r="C98" s="659"/>
      <c r="D98" s="163"/>
      <c r="E98" s="163"/>
      <c r="F98" s="281"/>
      <c r="G98" s="280"/>
      <c r="H98" s="281"/>
    </row>
    <row r="99" spans="1:50" x14ac:dyDescent="0.25">
      <c r="A99" s="608" t="s">
        <v>496</v>
      </c>
      <c r="B99" s="666"/>
      <c r="C99" s="609"/>
      <c r="D99" s="164"/>
      <c r="E99" s="165" t="s">
        <v>19</v>
      </c>
      <c r="F99" s="281">
        <f>F97</f>
        <v>0</v>
      </c>
      <c r="G99" s="280">
        <v>0</v>
      </c>
      <c r="H99" s="281">
        <f>H97</f>
        <v>0</v>
      </c>
    </row>
    <row r="100" spans="1:50" x14ac:dyDescent="0.25">
      <c r="A100" s="117"/>
      <c r="B100" s="117"/>
      <c r="C100" s="117"/>
      <c r="D100" s="117"/>
      <c r="E100" s="117"/>
      <c r="F100" s="117"/>
      <c r="G100" s="117"/>
    </row>
    <row r="101" spans="1:50" ht="49.5" customHeight="1" x14ac:dyDescent="0.25">
      <c r="A101" s="667" t="s">
        <v>529</v>
      </c>
      <c r="B101" s="667"/>
      <c r="C101" s="667"/>
      <c r="D101" s="667"/>
      <c r="E101" s="667"/>
      <c r="F101" s="667"/>
      <c r="G101" s="667"/>
      <c r="H101" s="667"/>
      <c r="I101" s="667"/>
      <c r="J101" s="667"/>
      <c r="K101" s="667"/>
    </row>
    <row r="102" spans="1:50" x14ac:dyDescent="0.25">
      <c r="A102" s="117"/>
      <c r="B102" s="117"/>
      <c r="C102" s="117"/>
      <c r="D102" s="117"/>
      <c r="E102" s="117"/>
      <c r="F102" s="117"/>
      <c r="G102" s="117"/>
    </row>
    <row r="103" spans="1:50" x14ac:dyDescent="0.25">
      <c r="A103" s="589" t="s">
        <v>530</v>
      </c>
      <c r="B103" s="589"/>
      <c r="C103" s="589"/>
      <c r="D103" s="589"/>
      <c r="E103" s="589"/>
      <c r="F103" s="589"/>
      <c r="G103" s="589"/>
      <c r="H103" s="589"/>
      <c r="I103" s="589"/>
      <c r="J103" s="589"/>
      <c r="K103" s="589"/>
    </row>
    <row r="104" spans="1:50" ht="17.25" customHeight="1" x14ac:dyDescent="0.25">
      <c r="A104" s="668" t="s">
        <v>531</v>
      </c>
      <c r="B104" s="668"/>
      <c r="C104" s="668"/>
      <c r="D104" s="668"/>
      <c r="E104" s="668"/>
      <c r="F104" s="117"/>
      <c r="G104" s="117"/>
    </row>
    <row r="105" spans="1:50" ht="15.75" customHeight="1" x14ac:dyDescent="0.25">
      <c r="B105" s="94" t="s">
        <v>577</v>
      </c>
      <c r="K105" s="117"/>
      <c r="L105" s="117"/>
      <c r="M105" s="117"/>
      <c r="N105" s="117"/>
      <c r="O105" s="117"/>
      <c r="P105" s="117"/>
      <c r="Q105" s="117"/>
      <c r="R105" s="117"/>
      <c r="S105" s="117"/>
      <c r="T105" s="117"/>
      <c r="U105" s="117"/>
      <c r="V105" s="117"/>
      <c r="W105" s="117"/>
      <c r="X105" s="117"/>
      <c r="Y105" s="117"/>
      <c r="Z105" s="117"/>
      <c r="AA105" s="117"/>
      <c r="AB105" s="117"/>
      <c r="AC105" s="117"/>
      <c r="AD105" s="117"/>
      <c r="AE105" s="117"/>
    </row>
    <row r="106" spans="1:50" ht="15.75" customHeight="1" x14ac:dyDescent="0.25">
      <c r="B106" s="94"/>
      <c r="K106" s="117"/>
      <c r="L106" s="117"/>
      <c r="M106" s="117"/>
      <c r="N106" s="117"/>
      <c r="O106" s="117"/>
      <c r="P106" s="117"/>
      <c r="Q106" s="117"/>
      <c r="R106" s="117"/>
      <c r="S106" s="117"/>
      <c r="T106" s="117"/>
      <c r="U106" s="117"/>
      <c r="V106" s="117"/>
      <c r="W106" s="117"/>
      <c r="X106" s="117"/>
      <c r="Y106" s="117"/>
      <c r="Z106" s="117"/>
      <c r="AA106" s="117"/>
      <c r="AB106" s="117"/>
      <c r="AC106" s="117"/>
      <c r="AD106" s="117"/>
      <c r="AE106" s="117"/>
    </row>
    <row r="107" spans="1:50" ht="15.75" customHeight="1" x14ac:dyDescent="0.25">
      <c r="B107" s="94" t="s">
        <v>578</v>
      </c>
      <c r="K107" s="117"/>
      <c r="L107" s="117"/>
      <c r="M107" s="117"/>
      <c r="N107" s="117"/>
      <c r="O107" s="117"/>
      <c r="P107" s="117"/>
      <c r="Q107" s="117"/>
      <c r="R107" s="117"/>
      <c r="S107" s="117"/>
      <c r="T107" s="117"/>
      <c r="U107" s="117"/>
      <c r="V107" s="117"/>
      <c r="W107" s="117"/>
      <c r="X107" s="117"/>
      <c r="Y107" s="117"/>
      <c r="Z107" s="117"/>
      <c r="AA107" s="117"/>
      <c r="AB107" s="117"/>
      <c r="AC107" s="117"/>
      <c r="AD107" s="117"/>
      <c r="AE107" s="117"/>
    </row>
    <row r="108" spans="1:50" ht="17.25" customHeight="1" x14ac:dyDescent="0.25">
      <c r="A108" s="201"/>
      <c r="B108" s="201"/>
      <c r="C108" s="201"/>
      <c r="D108" s="201"/>
      <c r="E108" s="201"/>
      <c r="F108" s="117"/>
      <c r="G108" s="117"/>
    </row>
    <row r="109" spans="1:50" x14ac:dyDescent="0.25">
      <c r="A109" s="635" t="s">
        <v>463</v>
      </c>
      <c r="B109" s="592" t="s">
        <v>9</v>
      </c>
      <c r="C109" s="592" t="s">
        <v>300</v>
      </c>
      <c r="D109" s="592" t="s">
        <v>520</v>
      </c>
      <c r="E109" s="663" t="s">
        <v>506</v>
      </c>
      <c r="F109" s="664"/>
      <c r="G109" s="665"/>
      <c r="H109" s="160"/>
    </row>
    <row r="110" spans="1:50" ht="48.75" customHeight="1" x14ac:dyDescent="0.25">
      <c r="A110" s="636"/>
      <c r="B110" s="592"/>
      <c r="C110" s="592"/>
      <c r="D110" s="592"/>
      <c r="E110" s="166" t="s">
        <v>521</v>
      </c>
      <c r="F110" s="167" t="s">
        <v>492</v>
      </c>
      <c r="G110" s="206" t="s">
        <v>466</v>
      </c>
      <c r="H110" s="169"/>
      <c r="I110" s="170"/>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17"/>
    </row>
    <row r="111" spans="1:50" ht="14.25" customHeight="1" x14ac:dyDescent="0.25">
      <c r="A111" s="142">
        <v>1</v>
      </c>
      <c r="B111" s="171">
        <v>2</v>
      </c>
      <c r="C111" s="171">
        <v>3</v>
      </c>
      <c r="D111" s="171">
        <v>4</v>
      </c>
      <c r="E111" s="171">
        <v>5</v>
      </c>
      <c r="F111" s="143">
        <v>6</v>
      </c>
      <c r="G111" s="142">
        <v>7</v>
      </c>
      <c r="H111" s="144"/>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17"/>
    </row>
    <row r="112" spans="1:50" x14ac:dyDescent="0.25">
      <c r="A112" s="210"/>
      <c r="B112" s="166"/>
      <c r="C112" s="164"/>
      <c r="D112" s="164"/>
      <c r="E112" s="164"/>
      <c r="F112" s="158"/>
      <c r="G112" s="164"/>
      <c r="H112" s="172"/>
      <c r="I112" s="134"/>
      <c r="J112" s="134"/>
      <c r="K112" s="134"/>
      <c r="L112" s="134"/>
      <c r="M112" s="134"/>
      <c r="N112" s="134"/>
      <c r="O112" s="134"/>
      <c r="P112" s="134"/>
      <c r="Q112" s="134"/>
      <c r="R112" s="134"/>
      <c r="S112" s="134"/>
      <c r="T112" s="134"/>
      <c r="U112" s="134"/>
      <c r="V112" s="134"/>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17"/>
    </row>
    <row r="113" spans="1:50" x14ac:dyDescent="0.25">
      <c r="A113" s="210"/>
      <c r="B113" s="166"/>
      <c r="C113" s="164"/>
      <c r="D113" s="164"/>
      <c r="E113" s="164"/>
      <c r="F113" s="158"/>
      <c r="G113" s="164"/>
      <c r="H113" s="172"/>
      <c r="I113" s="134"/>
      <c r="J113" s="134"/>
      <c r="K113" s="134"/>
      <c r="L113" s="134"/>
      <c r="M113" s="134"/>
      <c r="N113" s="134"/>
      <c r="O113" s="134"/>
      <c r="P113" s="134"/>
      <c r="Q113" s="134"/>
      <c r="R113" s="134"/>
      <c r="S113" s="134"/>
      <c r="T113" s="134"/>
      <c r="U113" s="134"/>
      <c r="V113" s="134"/>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17"/>
    </row>
    <row r="114" spans="1:50" x14ac:dyDescent="0.25">
      <c r="A114" s="608" t="s">
        <v>496</v>
      </c>
      <c r="B114" s="609"/>
      <c r="C114" s="164" t="s">
        <v>19</v>
      </c>
      <c r="D114" s="164" t="s">
        <v>19</v>
      </c>
      <c r="E114" s="378">
        <v>0</v>
      </c>
      <c r="F114" s="379">
        <v>0</v>
      </c>
      <c r="G114" s="378">
        <v>0</v>
      </c>
      <c r="H114" s="172"/>
      <c r="I114" s="134"/>
      <c r="J114" s="134"/>
      <c r="K114" s="134"/>
      <c r="L114" s="134"/>
      <c r="M114" s="134"/>
      <c r="N114" s="134"/>
      <c r="O114" s="134"/>
      <c r="P114" s="134"/>
      <c r="Q114" s="134"/>
      <c r="R114" s="134"/>
      <c r="S114" s="134"/>
      <c r="T114" s="134"/>
      <c r="U114" s="134"/>
      <c r="V114" s="134"/>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17"/>
    </row>
    <row r="115" spans="1:50" x14ac:dyDescent="0.25">
      <c r="A115" s="173"/>
      <c r="B115" s="173"/>
      <c r="C115" s="172"/>
      <c r="D115" s="172"/>
      <c r="E115" s="172"/>
      <c r="F115" s="172"/>
      <c r="G115" s="172"/>
      <c r="H115" s="172"/>
      <c r="I115" s="134"/>
      <c r="J115" s="134"/>
      <c r="K115" s="134"/>
      <c r="L115" s="134"/>
      <c r="M115" s="134"/>
      <c r="N115" s="134"/>
      <c r="O115" s="134"/>
      <c r="P115" s="134"/>
      <c r="Q115" s="134"/>
      <c r="R115" s="134"/>
      <c r="S115" s="134"/>
      <c r="T115" s="134"/>
      <c r="U115" s="134"/>
      <c r="V115" s="134"/>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17"/>
    </row>
    <row r="116" spans="1:50" ht="36" customHeight="1" x14ac:dyDescent="0.25">
      <c r="A116" s="661" t="s">
        <v>533</v>
      </c>
      <c r="B116" s="661"/>
      <c r="C116" s="661"/>
      <c r="D116" s="661"/>
      <c r="E116" s="661"/>
      <c r="F116" s="661"/>
      <c r="G116" s="661"/>
      <c r="H116" s="661"/>
      <c r="I116" s="661"/>
      <c r="J116" s="661"/>
      <c r="K116" s="661"/>
      <c r="L116" s="134"/>
      <c r="M116" s="134"/>
      <c r="N116" s="134"/>
      <c r="O116" s="134"/>
      <c r="P116" s="134"/>
      <c r="Q116" s="134"/>
      <c r="R116" s="134"/>
      <c r="S116" s="134"/>
      <c r="T116" s="134"/>
      <c r="U116" s="134"/>
      <c r="V116" s="134"/>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17"/>
    </row>
    <row r="117" spans="1:50" x14ac:dyDescent="0.25">
      <c r="B117" s="94"/>
      <c r="I117" s="117"/>
      <c r="J117" s="174"/>
      <c r="K117" s="174"/>
    </row>
    <row r="118" spans="1:50" ht="15.75" customHeight="1" x14ac:dyDescent="0.25">
      <c r="A118" s="662" t="s">
        <v>534</v>
      </c>
      <c r="B118" s="662"/>
      <c r="C118" s="662"/>
      <c r="D118" s="662"/>
      <c r="E118" s="662"/>
      <c r="F118" s="662"/>
      <c r="G118" s="662"/>
      <c r="H118" s="662"/>
      <c r="I118" s="662"/>
      <c r="J118" s="662"/>
      <c r="K118" s="662"/>
      <c r="L118" s="175"/>
    </row>
    <row r="119" spans="1:50" ht="15.75" customHeight="1" x14ac:dyDescent="0.25">
      <c r="A119" s="200"/>
      <c r="B119" s="200"/>
      <c r="C119" s="200"/>
      <c r="D119" s="200"/>
      <c r="E119" s="200"/>
      <c r="F119" s="200"/>
      <c r="G119" s="200"/>
      <c r="H119" s="200"/>
      <c r="I119" s="200"/>
      <c r="J119" s="200"/>
      <c r="K119" s="200"/>
      <c r="L119" s="175"/>
    </row>
    <row r="120" spans="1:50" ht="15.75" customHeight="1" x14ac:dyDescent="0.25">
      <c r="B120" s="94" t="s">
        <v>577</v>
      </c>
      <c r="K120" s="117"/>
      <c r="L120" s="117"/>
      <c r="M120" s="117"/>
      <c r="N120" s="117"/>
      <c r="O120" s="117"/>
      <c r="P120" s="117"/>
      <c r="Q120" s="117"/>
      <c r="R120" s="117"/>
      <c r="S120" s="117"/>
      <c r="T120" s="117"/>
      <c r="U120" s="117"/>
      <c r="V120" s="117"/>
      <c r="W120" s="117"/>
      <c r="X120" s="117"/>
      <c r="Y120" s="117"/>
      <c r="Z120" s="117"/>
      <c r="AA120" s="117"/>
      <c r="AB120" s="117"/>
      <c r="AC120" s="117"/>
      <c r="AD120" s="117"/>
      <c r="AE120" s="117"/>
    </row>
    <row r="121" spans="1:50" ht="15.75" customHeight="1" x14ac:dyDescent="0.25">
      <c r="B121" s="94"/>
      <c r="K121" s="117"/>
      <c r="L121" s="117"/>
      <c r="M121" s="117"/>
      <c r="N121" s="117"/>
      <c r="O121" s="117"/>
      <c r="P121" s="117"/>
      <c r="Q121" s="117"/>
      <c r="R121" s="117"/>
      <c r="S121" s="117"/>
      <c r="T121" s="117"/>
      <c r="U121" s="117"/>
      <c r="V121" s="117"/>
      <c r="W121" s="117"/>
      <c r="X121" s="117"/>
      <c r="Y121" s="117"/>
      <c r="Z121" s="117"/>
      <c r="AA121" s="117"/>
      <c r="AB121" s="117"/>
      <c r="AC121" s="117"/>
      <c r="AD121" s="117"/>
      <c r="AE121" s="117"/>
    </row>
    <row r="122" spans="1:50" ht="15.75" customHeight="1" x14ac:dyDescent="0.25">
      <c r="B122" s="94" t="s">
        <v>578</v>
      </c>
      <c r="K122" s="117"/>
      <c r="L122" s="117"/>
      <c r="M122" s="117"/>
      <c r="N122" s="117"/>
      <c r="O122" s="117"/>
      <c r="P122" s="117"/>
      <c r="Q122" s="117"/>
      <c r="R122" s="117"/>
      <c r="S122" s="117"/>
      <c r="T122" s="117"/>
      <c r="U122" s="117"/>
      <c r="V122" s="117"/>
      <c r="W122" s="117"/>
      <c r="X122" s="117"/>
      <c r="Y122" s="117"/>
      <c r="Z122" s="117"/>
      <c r="AA122" s="117"/>
      <c r="AB122" s="117"/>
      <c r="AC122" s="117"/>
      <c r="AD122" s="117"/>
      <c r="AE122" s="117"/>
    </row>
    <row r="123" spans="1:50" ht="15.75" customHeight="1" x14ac:dyDescent="0.25">
      <c r="A123" s="207"/>
      <c r="B123" s="207"/>
      <c r="C123" s="207"/>
      <c r="D123" s="207"/>
      <c r="E123" s="207"/>
      <c r="F123" s="207"/>
      <c r="G123" s="175"/>
      <c r="H123" s="175"/>
      <c r="I123" s="175"/>
      <c r="J123" s="175"/>
      <c r="K123" s="175"/>
      <c r="L123" s="175"/>
    </row>
    <row r="124" spans="1:50" ht="15.75" customHeight="1" x14ac:dyDescent="0.25">
      <c r="A124" s="635" t="s">
        <v>463</v>
      </c>
      <c r="B124" s="592" t="s">
        <v>9</v>
      </c>
      <c r="C124" s="592" t="s">
        <v>300</v>
      </c>
      <c r="D124" s="592" t="s">
        <v>520</v>
      </c>
      <c r="E124" s="671" t="s">
        <v>506</v>
      </c>
      <c r="F124" s="684"/>
      <c r="G124" s="672"/>
      <c r="H124" s="160"/>
    </row>
    <row r="125" spans="1:50" ht="47.25" customHeight="1" x14ac:dyDescent="0.25">
      <c r="A125" s="636"/>
      <c r="B125" s="592"/>
      <c r="C125" s="592"/>
      <c r="D125" s="592"/>
      <c r="E125" s="366" t="s">
        <v>521</v>
      </c>
      <c r="F125" s="381" t="s">
        <v>492</v>
      </c>
      <c r="G125" s="381" t="s">
        <v>466</v>
      </c>
      <c r="H125" s="169"/>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17"/>
    </row>
    <row r="126" spans="1:50" ht="12" customHeight="1" x14ac:dyDescent="0.25">
      <c r="A126" s="176">
        <v>1</v>
      </c>
      <c r="B126" s="177">
        <v>2</v>
      </c>
      <c r="C126" s="177">
        <v>3</v>
      </c>
      <c r="D126" s="177">
        <v>4</v>
      </c>
      <c r="E126" s="171">
        <v>5</v>
      </c>
      <c r="F126" s="142">
        <v>6</v>
      </c>
      <c r="G126" s="142">
        <v>7</v>
      </c>
      <c r="H126" s="144"/>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17"/>
    </row>
    <row r="127" spans="1:50" x14ac:dyDescent="0.25">
      <c r="A127" s="210"/>
      <c r="B127" s="121"/>
      <c r="C127" s="125"/>
      <c r="D127" s="125"/>
      <c r="E127" s="164"/>
      <c r="F127" s="164"/>
      <c r="G127" s="164"/>
      <c r="H127" s="172"/>
      <c r="I127" s="134"/>
      <c r="J127" s="134"/>
      <c r="K127" s="134"/>
      <c r="L127" s="134"/>
      <c r="M127" s="134"/>
      <c r="N127" s="134"/>
      <c r="O127" s="134"/>
      <c r="P127" s="134"/>
      <c r="Q127" s="134"/>
      <c r="R127" s="134"/>
      <c r="S127" s="134"/>
      <c r="T127" s="134"/>
      <c r="U127" s="134"/>
      <c r="V127" s="134"/>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17"/>
    </row>
    <row r="128" spans="1:50" x14ac:dyDescent="0.25">
      <c r="A128" s="210"/>
      <c r="B128" s="121"/>
      <c r="C128" s="125"/>
      <c r="D128" s="125"/>
      <c r="E128" s="164"/>
      <c r="F128" s="164"/>
      <c r="G128" s="164"/>
      <c r="H128" s="172"/>
      <c r="I128" s="134"/>
      <c r="J128" s="134"/>
      <c r="K128" s="134"/>
      <c r="L128" s="134"/>
      <c r="M128" s="134"/>
      <c r="N128" s="134"/>
      <c r="O128" s="134"/>
      <c r="P128" s="134"/>
      <c r="Q128" s="134"/>
      <c r="R128" s="134"/>
      <c r="S128" s="134"/>
      <c r="T128" s="134"/>
      <c r="U128" s="134"/>
      <c r="V128" s="134"/>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17"/>
    </row>
    <row r="129" spans="1:50" x14ac:dyDescent="0.25">
      <c r="A129" s="608" t="s">
        <v>496</v>
      </c>
      <c r="B129" s="609"/>
      <c r="C129" s="125" t="s">
        <v>19</v>
      </c>
      <c r="D129" s="125" t="s">
        <v>19</v>
      </c>
      <c r="E129" s="378">
        <v>0</v>
      </c>
      <c r="F129" s="378">
        <v>0</v>
      </c>
      <c r="G129" s="378">
        <v>0</v>
      </c>
      <c r="H129" s="172"/>
      <c r="I129" s="134"/>
      <c r="J129" s="134"/>
      <c r="K129" s="134"/>
      <c r="L129" s="134"/>
      <c r="M129" s="134"/>
      <c r="N129" s="134"/>
      <c r="O129" s="134"/>
      <c r="P129" s="134"/>
      <c r="Q129" s="134"/>
      <c r="R129" s="134"/>
      <c r="S129" s="134"/>
      <c r="T129" s="134"/>
      <c r="U129" s="134"/>
      <c r="V129" s="134"/>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17"/>
    </row>
    <row r="130" spans="1:50" x14ac:dyDescent="0.25">
      <c r="A130" s="147"/>
      <c r="B130" s="117"/>
      <c r="C130" s="147"/>
      <c r="D130" s="147"/>
      <c r="E130" s="147"/>
      <c r="F130" s="147"/>
      <c r="G130" s="117"/>
      <c r="H130" s="174"/>
      <c r="I130" s="174"/>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row>
    <row r="131" spans="1:50" ht="39" customHeight="1" x14ac:dyDescent="0.25">
      <c r="A131" s="667" t="s">
        <v>535</v>
      </c>
      <c r="B131" s="667"/>
      <c r="C131" s="667"/>
      <c r="D131" s="667"/>
      <c r="E131" s="667"/>
      <c r="F131" s="667"/>
      <c r="G131" s="667"/>
      <c r="H131" s="667"/>
      <c r="I131" s="667"/>
      <c r="J131" s="667"/>
      <c r="K131" s="66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row>
    <row r="132" spans="1:50" x14ac:dyDescent="0.25">
      <c r="A132" s="147"/>
      <c r="B132" s="117"/>
      <c r="C132" s="147"/>
      <c r="D132" s="147"/>
      <c r="E132" s="147"/>
      <c r="F132" s="147"/>
      <c r="G132" s="117"/>
      <c r="H132" s="174"/>
      <c r="I132" s="174"/>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row>
    <row r="133" spans="1:50" x14ac:dyDescent="0.25">
      <c r="A133" s="589" t="s">
        <v>536</v>
      </c>
      <c r="B133" s="589"/>
      <c r="C133" s="589"/>
      <c r="D133" s="589"/>
      <c r="E133" s="589"/>
      <c r="F133" s="589"/>
      <c r="G133" s="589"/>
      <c r="H133" s="589"/>
      <c r="I133" s="589"/>
      <c r="J133" s="589"/>
      <c r="K133" s="589"/>
    </row>
    <row r="134" spans="1:50" x14ac:dyDescent="0.25">
      <c r="A134" s="147"/>
      <c r="B134" s="117"/>
      <c r="C134" s="147"/>
      <c r="D134" s="147"/>
      <c r="E134" s="147"/>
      <c r="F134" s="147"/>
      <c r="G134" s="117"/>
      <c r="H134" s="174"/>
      <c r="I134" s="174"/>
      <c r="J134" s="117"/>
    </row>
    <row r="135" spans="1:50" ht="15.75" customHeight="1" x14ac:dyDescent="0.25">
      <c r="B135" s="118" t="s">
        <v>537</v>
      </c>
      <c r="C135" s="118"/>
      <c r="K135" s="117"/>
      <c r="L135" s="117"/>
      <c r="M135" s="117"/>
      <c r="N135" s="117"/>
      <c r="O135" s="117"/>
      <c r="P135" s="117"/>
      <c r="Q135" s="117"/>
      <c r="R135" s="117"/>
      <c r="S135" s="117"/>
      <c r="T135" s="117"/>
      <c r="U135" s="117"/>
      <c r="V135" s="117"/>
      <c r="W135" s="117"/>
      <c r="X135" s="117"/>
      <c r="Y135" s="117"/>
      <c r="Z135" s="117"/>
      <c r="AA135" s="117"/>
      <c r="AB135" s="117"/>
      <c r="AC135" s="117"/>
      <c r="AD135" s="117"/>
      <c r="AE135" s="117"/>
    </row>
    <row r="136" spans="1:50" ht="15.75" customHeight="1" x14ac:dyDescent="0.25">
      <c r="B136" s="94"/>
      <c r="K136" s="117"/>
      <c r="L136" s="117"/>
      <c r="M136" s="117"/>
      <c r="N136" s="117"/>
      <c r="O136" s="117"/>
      <c r="P136" s="117"/>
      <c r="Q136" s="117"/>
      <c r="R136" s="117"/>
      <c r="S136" s="117"/>
      <c r="T136" s="117"/>
      <c r="U136" s="117"/>
      <c r="V136" s="117"/>
      <c r="W136" s="117"/>
      <c r="X136" s="117"/>
      <c r="Y136" s="117"/>
      <c r="Z136" s="117"/>
      <c r="AA136" s="117"/>
      <c r="AB136" s="117"/>
      <c r="AC136" s="117"/>
      <c r="AD136" s="117"/>
      <c r="AE136" s="117"/>
    </row>
    <row r="137" spans="1:50" ht="15.75" customHeight="1" x14ac:dyDescent="0.25">
      <c r="B137" s="118" t="s">
        <v>351</v>
      </c>
      <c r="C137" s="118"/>
      <c r="D137" s="118" t="s">
        <v>568</v>
      </c>
      <c r="E137" s="118"/>
      <c r="K137" s="117"/>
      <c r="L137" s="117"/>
      <c r="M137" s="117"/>
      <c r="N137" s="117"/>
      <c r="O137" s="117"/>
      <c r="P137" s="117"/>
      <c r="Q137" s="117"/>
      <c r="R137" s="117"/>
      <c r="S137" s="117"/>
      <c r="T137" s="117"/>
      <c r="U137" s="117"/>
      <c r="V137" s="117"/>
      <c r="W137" s="117"/>
      <c r="X137" s="117"/>
      <c r="Y137" s="117"/>
      <c r="Z137" s="117"/>
      <c r="AA137" s="117"/>
      <c r="AB137" s="117"/>
      <c r="AC137" s="117"/>
      <c r="AD137" s="117"/>
      <c r="AE137" s="117"/>
    </row>
    <row r="138" spans="1:50" x14ac:dyDescent="0.25">
      <c r="A138" s="147"/>
      <c r="B138" s="117"/>
      <c r="C138" s="147"/>
      <c r="D138" s="147"/>
      <c r="E138" s="147"/>
      <c r="F138" s="147"/>
      <c r="G138" s="117"/>
      <c r="H138" s="174"/>
      <c r="I138" s="174"/>
      <c r="J138" s="117"/>
    </row>
    <row r="139" spans="1:50" x14ac:dyDescent="0.25">
      <c r="A139" s="147"/>
      <c r="B139" s="138" t="s">
        <v>538</v>
      </c>
      <c r="C139" s="147"/>
      <c r="D139" s="147"/>
      <c r="E139" s="147"/>
      <c r="F139" s="147"/>
      <c r="G139" s="117"/>
      <c r="H139" s="174"/>
      <c r="I139" s="174"/>
      <c r="J139" s="117"/>
    </row>
    <row r="140" spans="1:50" x14ac:dyDescent="0.25">
      <c r="A140" s="178"/>
      <c r="B140" s="178"/>
      <c r="C140" s="178"/>
      <c r="D140" s="178"/>
      <c r="E140" s="147"/>
      <c r="F140" s="147"/>
      <c r="G140" s="117"/>
      <c r="H140" s="174"/>
      <c r="I140" s="174"/>
      <c r="J140" s="117"/>
    </row>
    <row r="141" spans="1:50" ht="22.5" customHeight="1" x14ac:dyDescent="0.25">
      <c r="A141" s="635" t="s">
        <v>463</v>
      </c>
      <c r="B141" s="592" t="s">
        <v>281</v>
      </c>
      <c r="C141" s="592" t="s">
        <v>312</v>
      </c>
      <c r="D141" s="592" t="s">
        <v>313</v>
      </c>
      <c r="E141" s="592" t="s">
        <v>314</v>
      </c>
      <c r="F141" s="671" t="s">
        <v>506</v>
      </c>
      <c r="G141" s="684"/>
      <c r="H141" s="672"/>
      <c r="I141" s="160"/>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row>
    <row r="142" spans="1:50" ht="56.25" customHeight="1" x14ac:dyDescent="0.25">
      <c r="A142" s="636"/>
      <c r="B142" s="592"/>
      <c r="C142" s="592"/>
      <c r="D142" s="592"/>
      <c r="E142" s="592"/>
      <c r="F142" s="366" t="s">
        <v>539</v>
      </c>
      <c r="G142" s="367" t="s">
        <v>492</v>
      </c>
      <c r="H142" s="381" t="s">
        <v>466</v>
      </c>
      <c r="I142" s="169"/>
      <c r="J142" s="151"/>
      <c r="K142" s="151"/>
      <c r="L142" s="151"/>
      <c r="M142" s="151"/>
      <c r="N142" s="151"/>
      <c r="O142" s="151"/>
      <c r="P142" s="151"/>
      <c r="Q142" s="151"/>
      <c r="R142" s="151"/>
      <c r="S142" s="151"/>
      <c r="T142" s="151"/>
      <c r="U142" s="151"/>
      <c r="V142" s="179"/>
      <c r="W142" s="179"/>
      <c r="X142" s="179"/>
      <c r="Y142" s="179"/>
      <c r="Z142" s="179"/>
      <c r="AA142" s="179"/>
      <c r="AB142" s="179"/>
      <c r="AC142" s="179"/>
      <c r="AD142" s="179"/>
      <c r="AE142" s="179"/>
      <c r="AF142" s="179"/>
      <c r="AG142" s="179"/>
      <c r="AH142" s="179"/>
      <c r="AI142" s="179"/>
      <c r="AJ142" s="117"/>
    </row>
    <row r="143" spans="1:50" x14ac:dyDescent="0.25">
      <c r="A143" s="124">
        <v>1</v>
      </c>
      <c r="B143" s="124">
        <v>2</v>
      </c>
      <c r="C143" s="124">
        <v>3</v>
      </c>
      <c r="D143" s="124">
        <v>4</v>
      </c>
      <c r="E143" s="124">
        <v>5</v>
      </c>
      <c r="F143" s="127">
        <v>6</v>
      </c>
      <c r="G143" s="143">
        <v>7</v>
      </c>
      <c r="H143" s="142">
        <v>8</v>
      </c>
      <c r="I143" s="144"/>
      <c r="J143" s="128"/>
      <c r="K143" s="128"/>
      <c r="L143" s="128"/>
      <c r="M143" s="128"/>
      <c r="N143" s="128"/>
      <c r="O143" s="128"/>
      <c r="P143" s="128"/>
      <c r="Q143" s="128"/>
      <c r="R143" s="128"/>
      <c r="S143" s="128"/>
      <c r="T143" s="128"/>
      <c r="U143" s="128"/>
      <c r="V143" s="180"/>
      <c r="W143" s="180"/>
      <c r="X143" s="180"/>
      <c r="Y143" s="180"/>
      <c r="Z143" s="180"/>
      <c r="AA143" s="180"/>
      <c r="AB143" s="180"/>
      <c r="AC143" s="180"/>
      <c r="AD143" s="180"/>
      <c r="AE143" s="180"/>
      <c r="AF143" s="180"/>
      <c r="AG143" s="180"/>
      <c r="AH143" s="180"/>
      <c r="AI143" s="180"/>
      <c r="AJ143" s="117"/>
    </row>
    <row r="144" spans="1:50" x14ac:dyDescent="0.25">
      <c r="A144" s="148"/>
      <c r="B144" s="208"/>
      <c r="C144" s="132"/>
      <c r="D144" s="132"/>
      <c r="E144" s="132"/>
      <c r="F144" s="126"/>
      <c r="G144" s="158"/>
      <c r="H144" s="164"/>
      <c r="I144" s="172"/>
      <c r="J144" s="134"/>
      <c r="K144" s="134"/>
      <c r="L144" s="134"/>
      <c r="M144" s="134"/>
      <c r="N144" s="134"/>
      <c r="O144" s="134"/>
      <c r="P144" s="134"/>
      <c r="Q144" s="134"/>
      <c r="R144" s="134"/>
      <c r="S144" s="134"/>
      <c r="T144" s="134"/>
      <c r="U144" s="134"/>
      <c r="V144" s="179"/>
      <c r="W144" s="179"/>
      <c r="X144" s="179"/>
      <c r="Y144" s="179"/>
      <c r="Z144" s="179"/>
      <c r="AA144" s="179"/>
      <c r="AB144" s="179"/>
      <c r="AC144" s="179"/>
      <c r="AD144" s="179"/>
      <c r="AE144" s="179"/>
      <c r="AF144" s="179"/>
      <c r="AG144" s="179"/>
      <c r="AH144" s="179"/>
      <c r="AI144" s="179"/>
      <c r="AJ144" s="117"/>
    </row>
    <row r="145" spans="1:36" x14ac:dyDescent="0.25">
      <c r="A145" s="148"/>
      <c r="B145" s="208"/>
      <c r="C145" s="132"/>
      <c r="D145" s="132"/>
      <c r="E145" s="132"/>
      <c r="F145" s="126"/>
      <c r="G145" s="158"/>
      <c r="H145" s="164"/>
      <c r="I145" s="172"/>
      <c r="J145" s="134"/>
      <c r="K145" s="134"/>
      <c r="L145" s="134"/>
      <c r="M145" s="134"/>
      <c r="N145" s="134"/>
      <c r="O145" s="134"/>
      <c r="P145" s="134"/>
      <c r="Q145" s="134"/>
      <c r="R145" s="134"/>
      <c r="S145" s="134"/>
      <c r="T145" s="134"/>
      <c r="U145" s="134"/>
      <c r="V145" s="179"/>
      <c r="W145" s="179"/>
      <c r="X145" s="179"/>
      <c r="Y145" s="179"/>
      <c r="Z145" s="179"/>
      <c r="AA145" s="179"/>
      <c r="AB145" s="179"/>
      <c r="AC145" s="179"/>
      <c r="AD145" s="179"/>
      <c r="AE145" s="179"/>
      <c r="AF145" s="179"/>
      <c r="AG145" s="179"/>
      <c r="AH145" s="179"/>
      <c r="AI145" s="179"/>
      <c r="AJ145" s="117"/>
    </row>
    <row r="146" spans="1:36" x14ac:dyDescent="0.25">
      <c r="A146" s="650" t="s">
        <v>540</v>
      </c>
      <c r="B146" s="652"/>
      <c r="C146" s="132" t="s">
        <v>19</v>
      </c>
      <c r="D146" s="132" t="s">
        <v>19</v>
      </c>
      <c r="E146" s="132" t="s">
        <v>19</v>
      </c>
      <c r="F146" s="384">
        <v>0</v>
      </c>
      <c r="G146" s="379">
        <v>0</v>
      </c>
      <c r="H146" s="378">
        <v>0</v>
      </c>
      <c r="I146" s="172"/>
      <c r="J146" s="134"/>
      <c r="K146" s="134"/>
      <c r="L146" s="134"/>
      <c r="M146" s="134"/>
      <c r="N146" s="134"/>
      <c r="O146" s="134"/>
      <c r="P146" s="134"/>
      <c r="Q146" s="134"/>
      <c r="R146" s="134"/>
      <c r="S146" s="134"/>
      <c r="T146" s="134"/>
      <c r="U146" s="134"/>
      <c r="V146" s="181"/>
      <c r="W146" s="181"/>
      <c r="X146" s="181"/>
      <c r="Y146" s="181"/>
      <c r="Z146" s="181"/>
      <c r="AA146" s="181"/>
      <c r="AB146" s="181"/>
      <c r="AC146" s="181"/>
      <c r="AD146" s="181"/>
      <c r="AE146" s="181"/>
      <c r="AF146" s="181"/>
      <c r="AG146" s="181"/>
      <c r="AH146" s="181"/>
      <c r="AI146" s="181"/>
      <c r="AJ146" s="117"/>
    </row>
    <row r="147" spans="1:36" x14ac:dyDescent="0.25">
      <c r="A147" s="147"/>
      <c r="B147" s="117"/>
      <c r="C147" s="147"/>
      <c r="D147" s="147"/>
      <c r="E147" s="147"/>
      <c r="F147" s="147"/>
      <c r="G147" s="117"/>
      <c r="H147" s="174"/>
      <c r="I147" s="174"/>
      <c r="J147" s="117"/>
    </row>
    <row r="148" spans="1:36" ht="151.5" customHeight="1" x14ac:dyDescent="0.25">
      <c r="A148" s="667" t="s">
        <v>541</v>
      </c>
      <c r="B148" s="667"/>
      <c r="C148" s="667"/>
      <c r="D148" s="667"/>
      <c r="E148" s="667"/>
      <c r="F148" s="667"/>
      <c r="G148" s="667"/>
      <c r="H148" s="667"/>
      <c r="I148" s="667"/>
      <c r="J148" s="667"/>
      <c r="K148" s="667"/>
    </row>
    <row r="149" spans="1:36" x14ac:dyDescent="0.25">
      <c r="A149" s="147"/>
      <c r="B149" s="117"/>
      <c r="C149" s="147"/>
      <c r="D149" s="147"/>
      <c r="E149" s="147"/>
      <c r="F149" s="147"/>
      <c r="G149" s="117"/>
      <c r="H149" s="174"/>
      <c r="I149" s="174"/>
      <c r="J149" s="117"/>
    </row>
    <row r="150" spans="1:36" x14ac:dyDescent="0.25">
      <c r="A150" s="178"/>
      <c r="B150" s="178" t="s">
        <v>542</v>
      </c>
      <c r="C150" s="178"/>
      <c r="D150" s="178"/>
      <c r="E150" s="178"/>
      <c r="F150" s="147"/>
      <c r="G150" s="117"/>
      <c r="H150" s="174"/>
      <c r="I150" s="174"/>
      <c r="J150" s="117"/>
    </row>
    <row r="151" spans="1:36" x14ac:dyDescent="0.25">
      <c r="A151" s="147"/>
      <c r="B151" s="117"/>
      <c r="C151" s="147"/>
      <c r="D151" s="147"/>
      <c r="E151" s="147"/>
      <c r="F151" s="147"/>
      <c r="G151" s="117"/>
      <c r="H151" s="174"/>
      <c r="I151" s="174"/>
      <c r="J151" s="117"/>
    </row>
    <row r="152" spans="1:36" x14ac:dyDescent="0.25">
      <c r="A152" s="635" t="s">
        <v>463</v>
      </c>
      <c r="B152" s="592" t="s">
        <v>281</v>
      </c>
      <c r="C152" s="592" t="s">
        <v>543</v>
      </c>
      <c r="D152" s="592" t="s">
        <v>544</v>
      </c>
      <c r="E152" s="671" t="s">
        <v>506</v>
      </c>
      <c r="F152" s="684"/>
      <c r="G152" s="672"/>
      <c r="H152" s="160"/>
      <c r="I152" s="174"/>
      <c r="J152" s="117"/>
    </row>
    <row r="153" spans="1:36" ht="31.5" x14ac:dyDescent="0.25">
      <c r="A153" s="636"/>
      <c r="B153" s="592"/>
      <c r="C153" s="592"/>
      <c r="D153" s="592"/>
      <c r="E153" s="366" t="s">
        <v>545</v>
      </c>
      <c r="F153" s="367" t="s">
        <v>492</v>
      </c>
      <c r="G153" s="381" t="s">
        <v>466</v>
      </c>
      <c r="H153" s="169"/>
      <c r="I153" s="174"/>
      <c r="J153" s="117"/>
    </row>
    <row r="154" spans="1:36" x14ac:dyDescent="0.25">
      <c r="A154" s="176">
        <v>1</v>
      </c>
      <c r="B154" s="177">
        <v>2</v>
      </c>
      <c r="C154" s="177">
        <v>3</v>
      </c>
      <c r="D154" s="177">
        <v>4</v>
      </c>
      <c r="E154" s="171">
        <v>5</v>
      </c>
      <c r="F154" s="143">
        <v>6</v>
      </c>
      <c r="G154" s="142">
        <v>7</v>
      </c>
      <c r="H154" s="144"/>
      <c r="I154" s="174"/>
      <c r="J154" s="117"/>
    </row>
    <row r="155" spans="1:36" x14ac:dyDescent="0.25">
      <c r="A155" s="210"/>
      <c r="B155" s="121"/>
      <c r="C155" s="125"/>
      <c r="D155" s="125"/>
      <c r="E155" s="164"/>
      <c r="F155" s="158"/>
      <c r="G155" s="164"/>
      <c r="H155" s="172"/>
      <c r="I155" s="174"/>
      <c r="J155" s="117"/>
    </row>
    <row r="156" spans="1:36" x14ac:dyDescent="0.25">
      <c r="A156" s="210"/>
      <c r="B156" s="121"/>
      <c r="C156" s="125"/>
      <c r="D156" s="125"/>
      <c r="E156" s="164"/>
      <c r="F156" s="158"/>
      <c r="G156" s="164"/>
      <c r="H156" s="172"/>
      <c r="I156" s="174"/>
      <c r="J156" s="117"/>
    </row>
    <row r="157" spans="1:36" x14ac:dyDescent="0.25">
      <c r="A157" s="608" t="s">
        <v>496</v>
      </c>
      <c r="B157" s="609"/>
      <c r="C157" s="125" t="s">
        <v>19</v>
      </c>
      <c r="D157" s="125" t="s">
        <v>19</v>
      </c>
      <c r="E157" s="378">
        <v>0</v>
      </c>
      <c r="F157" s="379">
        <v>0</v>
      </c>
      <c r="G157" s="378">
        <v>0</v>
      </c>
      <c r="H157" s="172"/>
      <c r="I157" s="174"/>
      <c r="J157" s="117"/>
    </row>
    <row r="158" spans="1:36" x14ac:dyDescent="0.25">
      <c r="A158" s="147"/>
      <c r="B158" s="117"/>
      <c r="C158" s="147"/>
      <c r="D158" s="147"/>
      <c r="E158" s="147"/>
      <c r="F158" s="147"/>
      <c r="G158" s="117"/>
      <c r="H158" s="174"/>
      <c r="I158" s="174"/>
      <c r="J158" s="117"/>
    </row>
    <row r="159" spans="1:36" ht="36" customHeight="1" x14ac:dyDescent="0.25">
      <c r="A159" s="669" t="s">
        <v>546</v>
      </c>
      <c r="B159" s="669"/>
      <c r="C159" s="669"/>
      <c r="D159" s="669"/>
      <c r="E159" s="669"/>
      <c r="F159" s="669"/>
      <c r="G159" s="669"/>
      <c r="H159" s="669"/>
      <c r="I159" s="669"/>
      <c r="J159" s="669"/>
      <c r="K159" s="669"/>
    </row>
    <row r="160" spans="1:36" x14ac:dyDescent="0.25">
      <c r="A160" s="147"/>
      <c r="B160" s="117"/>
      <c r="C160" s="147"/>
      <c r="D160" s="147"/>
      <c r="E160" s="147"/>
      <c r="F160" s="147"/>
      <c r="G160" s="117"/>
      <c r="H160" s="174"/>
      <c r="I160" s="174"/>
      <c r="J160" s="117"/>
    </row>
    <row r="161" spans="1:11" x14ac:dyDescent="0.25">
      <c r="A161" s="178"/>
      <c r="B161" s="178" t="s">
        <v>547</v>
      </c>
      <c r="C161" s="178"/>
      <c r="D161" s="178"/>
      <c r="E161" s="178"/>
      <c r="F161" s="178"/>
      <c r="G161" s="117"/>
      <c r="H161" s="174"/>
      <c r="I161" s="174"/>
      <c r="J161" s="117"/>
    </row>
    <row r="162" spans="1:11" x14ac:dyDescent="0.25">
      <c r="A162" s="147"/>
      <c r="B162" s="117"/>
      <c r="C162" s="147"/>
      <c r="D162" s="147"/>
      <c r="E162" s="147"/>
      <c r="F162" s="147"/>
      <c r="G162" s="117"/>
      <c r="H162" s="174"/>
      <c r="I162" s="174"/>
      <c r="J162" s="117"/>
    </row>
    <row r="163" spans="1:11" ht="15.75" customHeight="1" x14ac:dyDescent="0.25">
      <c r="A163" s="635" t="s">
        <v>463</v>
      </c>
      <c r="B163" s="592" t="s">
        <v>9</v>
      </c>
      <c r="C163" s="592" t="s">
        <v>319</v>
      </c>
      <c r="D163" s="592" t="s">
        <v>548</v>
      </c>
      <c r="E163" s="592" t="s">
        <v>549</v>
      </c>
      <c r="F163" s="671" t="s">
        <v>506</v>
      </c>
      <c r="G163" s="684"/>
      <c r="H163" s="672"/>
      <c r="I163" s="160"/>
      <c r="J163" s="117"/>
    </row>
    <row r="164" spans="1:11" ht="47.25" x14ac:dyDescent="0.25">
      <c r="A164" s="636"/>
      <c r="B164" s="592"/>
      <c r="C164" s="592"/>
      <c r="D164" s="592"/>
      <c r="E164" s="592"/>
      <c r="F164" s="366" t="s">
        <v>539</v>
      </c>
      <c r="G164" s="381" t="s">
        <v>492</v>
      </c>
      <c r="H164" s="381" t="s">
        <v>466</v>
      </c>
      <c r="I164" s="169"/>
      <c r="J164" s="117"/>
    </row>
    <row r="165" spans="1:11" x14ac:dyDescent="0.25">
      <c r="A165" s="124">
        <v>1</v>
      </c>
      <c r="B165" s="124">
        <v>2</v>
      </c>
      <c r="C165" s="124">
        <v>3</v>
      </c>
      <c r="D165" s="124">
        <v>4</v>
      </c>
      <c r="E165" s="124">
        <v>5</v>
      </c>
      <c r="F165" s="127">
        <v>6</v>
      </c>
      <c r="G165" s="142">
        <v>7</v>
      </c>
      <c r="H165" s="142">
        <v>8</v>
      </c>
      <c r="I165" s="144"/>
      <c r="J165" s="117"/>
    </row>
    <row r="166" spans="1:11" x14ac:dyDescent="0.25">
      <c r="A166" s="148"/>
      <c r="B166" s="208"/>
      <c r="C166" s="132"/>
      <c r="D166" s="132"/>
      <c r="E166" s="132"/>
      <c r="F166" s="126"/>
      <c r="G166" s="164"/>
      <c r="H166" s="164"/>
      <c r="I166" s="172"/>
      <c r="J166" s="117"/>
    </row>
    <row r="167" spans="1:11" x14ac:dyDescent="0.25">
      <c r="A167" s="148"/>
      <c r="B167" s="208"/>
      <c r="C167" s="132"/>
      <c r="D167" s="132"/>
      <c r="E167" s="132"/>
      <c r="F167" s="126"/>
      <c r="G167" s="164"/>
      <c r="H167" s="164"/>
      <c r="I167" s="172"/>
      <c r="J167" s="117"/>
    </row>
    <row r="168" spans="1:11" x14ac:dyDescent="0.25">
      <c r="A168" s="650" t="s">
        <v>540</v>
      </c>
      <c r="B168" s="652"/>
      <c r="C168" s="132" t="s">
        <v>19</v>
      </c>
      <c r="D168" s="132" t="s">
        <v>19</v>
      </c>
      <c r="E168" s="132" t="s">
        <v>19</v>
      </c>
      <c r="F168" s="384">
        <v>0</v>
      </c>
      <c r="G168" s="378">
        <v>0</v>
      </c>
      <c r="H168" s="378">
        <v>0</v>
      </c>
      <c r="I168" s="172"/>
      <c r="J168" s="117"/>
    </row>
    <row r="169" spans="1:11" x14ac:dyDescent="0.25">
      <c r="A169" s="147"/>
      <c r="B169" s="117"/>
      <c r="C169" s="147"/>
      <c r="D169" s="147"/>
      <c r="E169" s="147"/>
      <c r="F169" s="147"/>
      <c r="G169" s="117"/>
      <c r="H169" s="174"/>
      <c r="I169" s="174"/>
      <c r="J169" s="117"/>
    </row>
    <row r="170" spans="1:11" ht="66.75" customHeight="1" x14ac:dyDescent="0.25">
      <c r="A170" s="667" t="s">
        <v>550</v>
      </c>
      <c r="B170" s="669"/>
      <c r="C170" s="669"/>
      <c r="D170" s="669"/>
      <c r="E170" s="669"/>
      <c r="F170" s="669"/>
      <c r="G170" s="669"/>
      <c r="H170" s="669"/>
      <c r="I170" s="669"/>
      <c r="J170" s="669"/>
      <c r="K170" s="669"/>
    </row>
    <row r="171" spans="1:11" x14ac:dyDescent="0.25">
      <c r="A171" s="147"/>
      <c r="B171" s="117"/>
      <c r="C171" s="147"/>
      <c r="D171" s="147"/>
      <c r="E171" s="147"/>
      <c r="F171" s="147"/>
      <c r="G171" s="117"/>
      <c r="H171" s="174"/>
      <c r="I171" s="174"/>
      <c r="J171" s="117"/>
    </row>
    <row r="172" spans="1:11" x14ac:dyDescent="0.25">
      <c r="A172" s="178"/>
      <c r="B172" s="178" t="s">
        <v>551</v>
      </c>
      <c r="C172" s="178"/>
      <c r="D172" s="178"/>
      <c r="E172" s="178"/>
      <c r="F172" s="147"/>
      <c r="G172" s="117"/>
      <c r="H172" s="174"/>
      <c r="I172" s="174"/>
      <c r="J172" s="117"/>
    </row>
    <row r="173" spans="1:11" x14ac:dyDescent="0.25">
      <c r="A173" s="147"/>
      <c r="B173" s="117"/>
      <c r="C173" s="147"/>
      <c r="D173" s="147"/>
      <c r="E173" s="147"/>
      <c r="F173" s="147"/>
      <c r="G173" s="117"/>
      <c r="H173" s="174"/>
      <c r="I173" s="174"/>
      <c r="J173" s="117"/>
    </row>
    <row r="174" spans="1:11" x14ac:dyDescent="0.25">
      <c r="A174" s="635" t="s">
        <v>463</v>
      </c>
      <c r="B174" s="592" t="s">
        <v>9</v>
      </c>
      <c r="C174" s="592" t="s">
        <v>323</v>
      </c>
      <c r="D174" s="592" t="s">
        <v>552</v>
      </c>
      <c r="E174" s="671" t="s">
        <v>506</v>
      </c>
      <c r="F174" s="684"/>
      <c r="G174" s="672"/>
      <c r="H174" s="160"/>
      <c r="I174" s="174"/>
      <c r="J174" s="117"/>
    </row>
    <row r="175" spans="1:11" ht="47.25" x14ac:dyDescent="0.25">
      <c r="A175" s="636"/>
      <c r="B175" s="592"/>
      <c r="C175" s="592"/>
      <c r="D175" s="592"/>
      <c r="E175" s="366" t="s">
        <v>553</v>
      </c>
      <c r="F175" s="367" t="s">
        <v>492</v>
      </c>
      <c r="G175" s="381" t="s">
        <v>466</v>
      </c>
      <c r="H175" s="169"/>
      <c r="I175" s="174"/>
      <c r="J175" s="117"/>
    </row>
    <row r="176" spans="1:11" x14ac:dyDescent="0.25">
      <c r="A176" s="176">
        <v>1</v>
      </c>
      <c r="B176" s="177">
        <v>2</v>
      </c>
      <c r="C176" s="177">
        <v>3</v>
      </c>
      <c r="D176" s="177">
        <v>4</v>
      </c>
      <c r="E176" s="171">
        <v>5</v>
      </c>
      <c r="F176" s="143">
        <v>5</v>
      </c>
      <c r="G176" s="142">
        <v>6</v>
      </c>
      <c r="H176" s="144"/>
      <c r="I176" s="174"/>
      <c r="J176" s="117"/>
    </row>
    <row r="177" spans="1:11" x14ac:dyDescent="0.25">
      <c r="A177" s="210"/>
      <c r="B177" s="121"/>
      <c r="C177" s="125"/>
      <c r="D177" s="125"/>
      <c r="E177" s="164"/>
      <c r="F177" s="158"/>
      <c r="G177" s="164"/>
      <c r="H177" s="172"/>
      <c r="I177" s="174"/>
      <c r="J177" s="117"/>
    </row>
    <row r="178" spans="1:11" x14ac:dyDescent="0.25">
      <c r="A178" s="210"/>
      <c r="B178" s="121"/>
      <c r="C178" s="125"/>
      <c r="D178" s="125"/>
      <c r="E178" s="164"/>
      <c r="F178" s="158"/>
      <c r="G178" s="164"/>
      <c r="H178" s="172"/>
      <c r="I178" s="174"/>
      <c r="J178" s="117"/>
    </row>
    <row r="179" spans="1:11" x14ac:dyDescent="0.25">
      <c r="A179" s="608" t="s">
        <v>496</v>
      </c>
      <c r="B179" s="609"/>
      <c r="C179" s="125" t="s">
        <v>19</v>
      </c>
      <c r="D179" s="125" t="s">
        <v>19</v>
      </c>
      <c r="E179" s="164" t="s">
        <v>19</v>
      </c>
      <c r="F179" s="379">
        <v>0</v>
      </c>
      <c r="G179" s="378">
        <v>0</v>
      </c>
      <c r="H179" s="172"/>
      <c r="I179" s="174"/>
      <c r="J179" s="117"/>
    </row>
    <row r="180" spans="1:11" x14ac:dyDescent="0.25">
      <c r="A180" s="147"/>
      <c r="B180" s="117"/>
      <c r="C180" s="147"/>
      <c r="D180" s="147"/>
      <c r="E180" s="147"/>
      <c r="F180" s="147"/>
      <c r="G180" s="117"/>
      <c r="H180" s="174"/>
      <c r="I180" s="174"/>
      <c r="J180" s="117"/>
    </row>
    <row r="181" spans="1:11" ht="48" customHeight="1" x14ac:dyDescent="0.25">
      <c r="A181" s="670" t="s">
        <v>554</v>
      </c>
      <c r="B181" s="670"/>
      <c r="C181" s="670"/>
      <c r="D181" s="670"/>
      <c r="E181" s="670"/>
      <c r="F181" s="670"/>
      <c r="G181" s="670"/>
      <c r="H181" s="670"/>
      <c r="I181" s="670"/>
      <c r="J181" s="670"/>
      <c r="K181" s="670"/>
    </row>
    <row r="182" spans="1:11" x14ac:dyDescent="0.25">
      <c r="A182" s="147"/>
      <c r="B182" s="117"/>
      <c r="C182" s="147"/>
      <c r="D182" s="147"/>
      <c r="E182" s="147"/>
      <c r="F182" s="147"/>
      <c r="G182" s="117"/>
      <c r="H182" s="174"/>
      <c r="I182" s="174"/>
      <c r="J182" s="117"/>
    </row>
    <row r="183" spans="1:11" x14ac:dyDescent="0.25">
      <c r="A183" s="178"/>
      <c r="B183" s="178" t="s">
        <v>555</v>
      </c>
      <c r="C183" s="178"/>
      <c r="D183" s="178"/>
      <c r="E183" s="178"/>
      <c r="F183" s="178"/>
      <c r="G183" s="117"/>
      <c r="H183" s="174"/>
      <c r="I183" s="174"/>
      <c r="J183" s="117"/>
    </row>
    <row r="184" spans="1:11" x14ac:dyDescent="0.25">
      <c r="A184" s="147"/>
      <c r="B184" s="117"/>
      <c r="C184" s="147"/>
      <c r="D184" s="147"/>
      <c r="E184" s="147"/>
      <c r="F184" s="147"/>
      <c r="G184" s="117"/>
      <c r="H184" s="174"/>
      <c r="I184" s="174"/>
      <c r="J184" s="117"/>
    </row>
    <row r="185" spans="1:11" x14ac:dyDescent="0.25">
      <c r="A185" s="635" t="s">
        <v>463</v>
      </c>
      <c r="B185" s="592" t="s">
        <v>281</v>
      </c>
      <c r="C185" s="592" t="s">
        <v>327</v>
      </c>
      <c r="D185" s="592" t="s">
        <v>556</v>
      </c>
      <c r="E185" s="671" t="s">
        <v>506</v>
      </c>
      <c r="F185" s="684"/>
      <c r="G185" s="672"/>
      <c r="H185" s="160"/>
      <c r="I185" s="174"/>
      <c r="J185" s="117"/>
    </row>
    <row r="186" spans="1:11" ht="47.25" x14ac:dyDescent="0.25">
      <c r="A186" s="636"/>
      <c r="B186" s="592"/>
      <c r="C186" s="592"/>
      <c r="D186" s="592"/>
      <c r="E186" s="366" t="s">
        <v>557</v>
      </c>
      <c r="F186" s="367" t="s">
        <v>492</v>
      </c>
      <c r="G186" s="381" t="s">
        <v>466</v>
      </c>
      <c r="H186" s="169"/>
      <c r="I186" s="174"/>
      <c r="J186" s="117"/>
    </row>
    <row r="187" spans="1:11" x14ac:dyDescent="0.25">
      <c r="A187" s="176">
        <v>1</v>
      </c>
      <c r="B187" s="177">
        <v>2</v>
      </c>
      <c r="C187" s="177">
        <v>3</v>
      </c>
      <c r="D187" s="177">
        <v>4</v>
      </c>
      <c r="E187" s="171">
        <v>5</v>
      </c>
      <c r="F187" s="143">
        <v>5</v>
      </c>
      <c r="G187" s="142">
        <v>6</v>
      </c>
      <c r="H187" s="144"/>
      <c r="I187" s="174"/>
      <c r="J187" s="117"/>
    </row>
    <row r="188" spans="1:11" x14ac:dyDescent="0.25">
      <c r="A188" s="210"/>
      <c r="B188" s="121"/>
      <c r="C188" s="125"/>
      <c r="D188" s="125"/>
      <c r="E188" s="294"/>
      <c r="F188" s="296"/>
      <c r="G188" s="294"/>
      <c r="H188" s="172"/>
      <c r="I188" s="174"/>
      <c r="J188" s="117"/>
    </row>
    <row r="189" spans="1:11" x14ac:dyDescent="0.25">
      <c r="A189" s="210"/>
      <c r="B189" s="121"/>
      <c r="C189" s="125"/>
      <c r="D189" s="125"/>
      <c r="E189" s="294"/>
      <c r="F189" s="296"/>
      <c r="G189" s="294"/>
      <c r="H189" s="172"/>
      <c r="I189" s="174"/>
      <c r="J189" s="117"/>
    </row>
    <row r="190" spans="1:11" x14ac:dyDescent="0.25">
      <c r="A190" s="608" t="s">
        <v>496</v>
      </c>
      <c r="B190" s="609"/>
      <c r="C190" s="125" t="s">
        <v>19</v>
      </c>
      <c r="D190" s="125" t="s">
        <v>19</v>
      </c>
      <c r="E190" s="294">
        <f>F190</f>
        <v>0</v>
      </c>
      <c r="F190" s="296">
        <f>F188</f>
        <v>0</v>
      </c>
      <c r="G190" s="296">
        <f>G188</f>
        <v>0</v>
      </c>
      <c r="H190" s="172"/>
      <c r="I190" s="174"/>
      <c r="J190" s="117"/>
    </row>
    <row r="191" spans="1:11" x14ac:dyDescent="0.25">
      <c r="A191" s="147"/>
      <c r="B191" s="117"/>
      <c r="C191" s="147"/>
      <c r="D191" s="147"/>
      <c r="E191" s="147"/>
      <c r="F191" s="147"/>
      <c r="G191" s="117"/>
      <c r="H191" s="174"/>
      <c r="I191" s="174"/>
      <c r="J191" s="117"/>
    </row>
    <row r="192" spans="1:11" ht="53.25" customHeight="1" x14ac:dyDescent="0.25">
      <c r="A192" s="667" t="s">
        <v>558</v>
      </c>
      <c r="B192" s="667"/>
      <c r="C192" s="667"/>
      <c r="D192" s="667"/>
      <c r="E192" s="667"/>
      <c r="F192" s="667"/>
      <c r="G192" s="667"/>
      <c r="H192" s="667"/>
      <c r="I192" s="667"/>
      <c r="J192" s="667"/>
      <c r="K192" s="667"/>
    </row>
    <row r="193" spans="1:11" x14ac:dyDescent="0.25">
      <c r="A193" s="147"/>
      <c r="B193" s="117"/>
      <c r="C193" s="147"/>
      <c r="D193" s="147"/>
      <c r="E193" s="147"/>
      <c r="F193" s="147"/>
      <c r="G193" s="117"/>
      <c r="H193" s="174"/>
      <c r="I193" s="174"/>
      <c r="J193" s="117"/>
    </row>
    <row r="194" spans="1:11" x14ac:dyDescent="0.25">
      <c r="A194" s="178"/>
      <c r="B194" s="178" t="s">
        <v>559</v>
      </c>
      <c r="C194" s="178"/>
      <c r="D194" s="178"/>
      <c r="E194" s="178"/>
      <c r="F194" s="147"/>
      <c r="G194" s="117"/>
      <c r="H194" s="174"/>
      <c r="I194" s="174"/>
      <c r="J194" s="117"/>
    </row>
    <row r="195" spans="1:11" x14ac:dyDescent="0.25">
      <c r="A195" s="147"/>
      <c r="B195" s="117"/>
      <c r="C195" s="147"/>
      <c r="D195" s="147"/>
      <c r="E195" s="147"/>
      <c r="F195" s="147"/>
      <c r="G195" s="117"/>
      <c r="H195" s="174"/>
      <c r="I195" s="174"/>
      <c r="J195" s="117"/>
    </row>
    <row r="196" spans="1:11" x14ac:dyDescent="0.25">
      <c r="A196" s="635" t="s">
        <v>463</v>
      </c>
      <c r="B196" s="592" t="s">
        <v>9</v>
      </c>
      <c r="C196" s="592" t="s">
        <v>276</v>
      </c>
      <c r="D196" s="671" t="s">
        <v>506</v>
      </c>
      <c r="E196" s="684"/>
      <c r="F196" s="672"/>
      <c r="G196" s="160"/>
      <c r="H196" s="174"/>
      <c r="I196" s="174"/>
      <c r="J196" s="117"/>
    </row>
    <row r="197" spans="1:11" ht="31.5" x14ac:dyDescent="0.25">
      <c r="A197" s="636"/>
      <c r="B197" s="592"/>
      <c r="C197" s="592"/>
      <c r="D197" s="366" t="s">
        <v>560</v>
      </c>
      <c r="E197" s="381" t="s">
        <v>492</v>
      </c>
      <c r="F197" s="381" t="s">
        <v>466</v>
      </c>
      <c r="G197" s="169"/>
      <c r="H197" s="174"/>
      <c r="I197" s="174"/>
      <c r="J197" s="117"/>
    </row>
    <row r="198" spans="1:11" x14ac:dyDescent="0.25">
      <c r="A198" s="176">
        <v>1</v>
      </c>
      <c r="B198" s="177">
        <v>2</v>
      </c>
      <c r="C198" s="177">
        <v>3</v>
      </c>
      <c r="D198" s="171">
        <v>5</v>
      </c>
      <c r="E198" s="142">
        <v>5</v>
      </c>
      <c r="F198" s="142">
        <v>6</v>
      </c>
      <c r="G198" s="144"/>
      <c r="H198" s="174"/>
      <c r="I198" s="174"/>
      <c r="J198" s="117"/>
    </row>
    <row r="199" spans="1:11" ht="45" customHeight="1" x14ac:dyDescent="0.25">
      <c r="A199" s="145">
        <v>1</v>
      </c>
      <c r="B199" s="302" t="s">
        <v>706</v>
      </c>
      <c r="C199" s="125"/>
      <c r="D199" s="281">
        <f>E199</f>
        <v>402091.14</v>
      </c>
      <c r="E199" s="281">
        <v>402091.14</v>
      </c>
      <c r="F199" s="294"/>
      <c r="G199" s="172"/>
      <c r="H199" s="174"/>
      <c r="I199" s="174"/>
      <c r="J199" s="117"/>
    </row>
    <row r="200" spans="1:11" x14ac:dyDescent="0.25">
      <c r="A200" s="608" t="s">
        <v>496</v>
      </c>
      <c r="B200" s="609"/>
      <c r="C200" s="125" t="s">
        <v>19</v>
      </c>
      <c r="D200" s="281">
        <f>E200</f>
        <v>402091.14</v>
      </c>
      <c r="E200" s="281">
        <f>SUM(E199:E199)</f>
        <v>402091.14</v>
      </c>
      <c r="F200" s="281">
        <f>SUM(F199:F199)</f>
        <v>0</v>
      </c>
      <c r="G200" s="172"/>
      <c r="H200" s="174"/>
      <c r="I200" s="174"/>
      <c r="J200" s="117"/>
    </row>
    <row r="201" spans="1:11" x14ac:dyDescent="0.25">
      <c r="A201" s="147"/>
      <c r="B201" s="117"/>
      <c r="C201" s="147"/>
      <c r="D201" s="147"/>
      <c r="E201" s="147"/>
      <c r="F201" s="147"/>
      <c r="G201" s="117"/>
      <c r="H201" s="174"/>
      <c r="I201" s="174"/>
      <c r="J201" s="117"/>
    </row>
    <row r="202" spans="1:11" ht="149.25" customHeight="1" x14ac:dyDescent="0.25">
      <c r="A202" s="667" t="s">
        <v>561</v>
      </c>
      <c r="B202" s="667"/>
      <c r="C202" s="667"/>
      <c r="D202" s="667"/>
      <c r="E202" s="667"/>
      <c r="F202" s="667"/>
      <c r="G202" s="667"/>
      <c r="H202" s="667"/>
      <c r="I202" s="667"/>
      <c r="J202" s="667"/>
      <c r="K202" s="667"/>
    </row>
    <row r="203" spans="1:11" x14ac:dyDescent="0.25">
      <c r="A203" s="147"/>
      <c r="B203" s="117"/>
      <c r="C203" s="147"/>
      <c r="D203" s="147"/>
      <c r="E203" s="147"/>
      <c r="F203" s="147"/>
      <c r="G203" s="117"/>
      <c r="H203" s="174"/>
      <c r="I203" s="174"/>
      <c r="J203" s="117"/>
    </row>
    <row r="204" spans="1:11" x14ac:dyDescent="0.25">
      <c r="A204" s="119"/>
      <c r="B204" s="119" t="s">
        <v>562</v>
      </c>
      <c r="C204" s="119"/>
      <c r="D204" s="119"/>
    </row>
    <row r="205" spans="1:11" x14ac:dyDescent="0.25">
      <c r="B205" s="94"/>
    </row>
    <row r="206" spans="1:11" ht="25.5" customHeight="1" x14ac:dyDescent="0.25">
      <c r="A206" s="635" t="s">
        <v>463</v>
      </c>
      <c r="B206" s="635" t="s">
        <v>281</v>
      </c>
      <c r="C206" s="673"/>
      <c r="D206" s="622" t="s">
        <v>323</v>
      </c>
      <c r="E206" s="593" t="s">
        <v>331</v>
      </c>
      <c r="F206" s="637" t="s">
        <v>506</v>
      </c>
      <c r="G206" s="637"/>
      <c r="H206" s="637"/>
      <c r="I206" s="182"/>
      <c r="J206" s="139"/>
    </row>
    <row r="207" spans="1:11" ht="54.75" customHeight="1" x14ac:dyDescent="0.25">
      <c r="A207" s="636"/>
      <c r="B207" s="636"/>
      <c r="C207" s="674"/>
      <c r="D207" s="623"/>
      <c r="E207" s="594"/>
      <c r="F207" s="381" t="s">
        <v>563</v>
      </c>
      <c r="G207" s="381" t="s">
        <v>492</v>
      </c>
      <c r="H207" s="381" t="s">
        <v>466</v>
      </c>
      <c r="I207" s="117"/>
      <c r="J207" s="141"/>
    </row>
    <row r="208" spans="1:11" ht="15.75" customHeight="1" x14ac:dyDescent="0.25">
      <c r="A208" s="145">
        <v>1</v>
      </c>
      <c r="B208" s="671">
        <v>2</v>
      </c>
      <c r="C208" s="672"/>
      <c r="D208" s="145">
        <v>3</v>
      </c>
      <c r="E208" s="145">
        <v>4</v>
      </c>
      <c r="F208" s="145">
        <v>5</v>
      </c>
      <c r="G208" s="145">
        <v>6</v>
      </c>
      <c r="H208" s="145">
        <v>7</v>
      </c>
      <c r="I208" s="174"/>
      <c r="J208" s="174"/>
    </row>
    <row r="209" spans="1:11" x14ac:dyDescent="0.25">
      <c r="A209" s="129"/>
      <c r="B209" s="663"/>
      <c r="C209" s="665"/>
      <c r="D209" s="129"/>
      <c r="E209" s="129"/>
      <c r="F209" s="293"/>
      <c r="G209" s="293"/>
      <c r="H209" s="281"/>
      <c r="I209" s="174"/>
      <c r="J209" s="117"/>
    </row>
    <row r="210" spans="1:11" x14ac:dyDescent="0.25">
      <c r="A210" s="632" t="s">
        <v>260</v>
      </c>
      <c r="B210" s="677"/>
      <c r="C210" s="633"/>
      <c r="D210" s="210"/>
      <c r="E210" s="210" t="s">
        <v>19</v>
      </c>
      <c r="F210" s="294">
        <v>0</v>
      </c>
      <c r="G210" s="294">
        <v>0</v>
      </c>
      <c r="H210" s="294">
        <v>0</v>
      </c>
      <c r="I210" s="117"/>
      <c r="J210" s="117"/>
    </row>
    <row r="211" spans="1:11" x14ac:dyDescent="0.25">
      <c r="B211" s="94"/>
    </row>
    <row r="212" spans="1:11" x14ac:dyDescent="0.25">
      <c r="A212" s="119"/>
      <c r="B212" s="119" t="s">
        <v>564</v>
      </c>
      <c r="C212" s="119"/>
      <c r="D212" s="119"/>
    </row>
    <row r="213" spans="1:11" x14ac:dyDescent="0.25">
      <c r="B213" s="94"/>
    </row>
    <row r="214" spans="1:11" ht="25.5" customHeight="1" x14ac:dyDescent="0.25">
      <c r="A214" s="635" t="s">
        <v>463</v>
      </c>
      <c r="B214" s="635" t="s">
        <v>281</v>
      </c>
      <c r="C214" s="673"/>
      <c r="D214" s="622" t="s">
        <v>323</v>
      </c>
      <c r="E214" s="593" t="s">
        <v>331</v>
      </c>
      <c r="F214" s="637" t="s">
        <v>506</v>
      </c>
      <c r="G214" s="637"/>
      <c r="H214" s="637"/>
      <c r="I214" s="182"/>
      <c r="J214" s="139"/>
    </row>
    <row r="215" spans="1:11" ht="54.75" customHeight="1" x14ac:dyDescent="0.25">
      <c r="A215" s="636"/>
      <c r="B215" s="636"/>
      <c r="C215" s="674"/>
      <c r="D215" s="623"/>
      <c r="E215" s="594"/>
      <c r="F215" s="381" t="s">
        <v>563</v>
      </c>
      <c r="G215" s="381" t="s">
        <v>492</v>
      </c>
      <c r="H215" s="381" t="s">
        <v>466</v>
      </c>
      <c r="I215" s="117"/>
      <c r="J215" s="141"/>
    </row>
    <row r="216" spans="1:11" ht="15.75" customHeight="1" x14ac:dyDescent="0.25">
      <c r="A216" s="145">
        <v>1</v>
      </c>
      <c r="B216" s="671">
        <v>2</v>
      </c>
      <c r="C216" s="672"/>
      <c r="D216" s="145">
        <v>3</v>
      </c>
      <c r="E216" s="145">
        <v>4</v>
      </c>
      <c r="F216" s="145">
        <v>5</v>
      </c>
      <c r="G216" s="145">
        <v>6</v>
      </c>
      <c r="H216" s="145">
        <v>7</v>
      </c>
      <c r="I216" s="174"/>
      <c r="J216" s="174"/>
    </row>
    <row r="217" spans="1:11" ht="33" customHeight="1" x14ac:dyDescent="0.25">
      <c r="A217" s="145">
        <v>1</v>
      </c>
      <c r="B217" s="675"/>
      <c r="C217" s="676"/>
      <c r="D217" s="129"/>
      <c r="E217" s="129"/>
      <c r="F217" s="281"/>
      <c r="G217" s="281"/>
      <c r="H217" s="281"/>
      <c r="I217" s="174"/>
      <c r="J217" s="117"/>
    </row>
    <row r="218" spans="1:11" x14ac:dyDescent="0.25">
      <c r="A218" s="129"/>
      <c r="B218" s="663"/>
      <c r="C218" s="665"/>
      <c r="D218" s="129"/>
      <c r="E218" s="129"/>
      <c r="F218" s="129"/>
      <c r="G218" s="145"/>
      <c r="H218" s="145"/>
      <c r="I218" s="174"/>
      <c r="J218" s="117"/>
    </row>
    <row r="219" spans="1:11" x14ac:dyDescent="0.25">
      <c r="A219" s="129"/>
      <c r="B219" s="663"/>
      <c r="C219" s="665"/>
      <c r="D219" s="129"/>
      <c r="E219" s="129"/>
      <c r="F219" s="129"/>
      <c r="G219" s="129"/>
      <c r="H219" s="145"/>
      <c r="I219" s="174"/>
      <c r="J219" s="117"/>
    </row>
    <row r="220" spans="1:11" x14ac:dyDescent="0.25">
      <c r="A220" s="632" t="s">
        <v>260</v>
      </c>
      <c r="B220" s="677"/>
      <c r="C220" s="633"/>
      <c r="D220" s="210"/>
      <c r="E220" s="210" t="s">
        <v>19</v>
      </c>
      <c r="F220" s="294">
        <f>F217</f>
        <v>0</v>
      </c>
      <c r="G220" s="294">
        <f>G217</f>
        <v>0</v>
      </c>
      <c r="H220" s="294">
        <f>H217</f>
        <v>0</v>
      </c>
      <c r="I220" s="117"/>
      <c r="J220" s="117"/>
    </row>
    <row r="221" spans="1:11" ht="135" customHeight="1" x14ac:dyDescent="0.25">
      <c r="A221" s="653" t="s">
        <v>565</v>
      </c>
      <c r="B221" s="653"/>
      <c r="C221" s="653"/>
      <c r="D221" s="653"/>
      <c r="E221" s="653"/>
      <c r="F221" s="653"/>
      <c r="G221" s="653"/>
      <c r="H221" s="653"/>
      <c r="I221" s="653"/>
      <c r="J221" s="653"/>
      <c r="K221" s="653"/>
    </row>
    <row r="222" spans="1:11" x14ac:dyDescent="0.25">
      <c r="B222" s="94"/>
    </row>
    <row r="223" spans="1:11" x14ac:dyDescent="0.25">
      <c r="A223" s="119"/>
      <c r="B223" s="119" t="s">
        <v>566</v>
      </c>
      <c r="C223" s="119"/>
      <c r="D223" s="119"/>
    </row>
    <row r="224" spans="1:11" x14ac:dyDescent="0.25">
      <c r="B224" s="94"/>
    </row>
    <row r="225" spans="1:12" ht="25.5" customHeight="1" x14ac:dyDescent="0.25">
      <c r="A225" s="635" t="s">
        <v>463</v>
      </c>
      <c r="B225" s="635" t="s">
        <v>281</v>
      </c>
      <c r="C225" s="673"/>
      <c r="D225" s="622" t="s">
        <v>323</v>
      </c>
      <c r="E225" s="593" t="s">
        <v>331</v>
      </c>
      <c r="F225" s="637" t="s">
        <v>506</v>
      </c>
      <c r="G225" s="637"/>
      <c r="H225" s="637"/>
      <c r="I225" s="182"/>
      <c r="J225" s="139"/>
    </row>
    <row r="226" spans="1:12" ht="54.75" customHeight="1" x14ac:dyDescent="0.25">
      <c r="A226" s="636"/>
      <c r="B226" s="636"/>
      <c r="C226" s="674"/>
      <c r="D226" s="623"/>
      <c r="E226" s="594"/>
      <c r="F226" s="381" t="s">
        <v>563</v>
      </c>
      <c r="G226" s="381" t="s">
        <v>492</v>
      </c>
      <c r="H226" s="381" t="s">
        <v>466</v>
      </c>
      <c r="I226" s="117"/>
      <c r="J226" s="141"/>
    </row>
    <row r="227" spans="1:12" ht="15.75" customHeight="1" x14ac:dyDescent="0.25">
      <c r="A227" s="145">
        <v>1</v>
      </c>
      <c r="B227" s="671">
        <v>2</v>
      </c>
      <c r="C227" s="672"/>
      <c r="D227" s="145">
        <v>3</v>
      </c>
      <c r="E227" s="145">
        <v>4</v>
      </c>
      <c r="F227" s="145">
        <v>5</v>
      </c>
      <c r="G227" s="145">
        <v>6</v>
      </c>
      <c r="H227" s="145">
        <v>7</v>
      </c>
      <c r="I227" s="174"/>
      <c r="J227" s="174"/>
    </row>
    <row r="228" spans="1:12" x14ac:dyDescent="0.25">
      <c r="A228" s="129"/>
      <c r="B228" s="663"/>
      <c r="C228" s="665"/>
      <c r="D228" s="129"/>
      <c r="E228" s="129"/>
      <c r="F228" s="129"/>
      <c r="G228" s="145"/>
      <c r="H228" s="145"/>
      <c r="I228" s="174"/>
      <c r="J228" s="117"/>
    </row>
    <row r="229" spans="1:12" x14ac:dyDescent="0.25">
      <c r="A229" s="129"/>
      <c r="B229" s="663"/>
      <c r="C229" s="665"/>
      <c r="D229" s="129"/>
      <c r="E229" s="129"/>
      <c r="F229" s="129"/>
      <c r="G229" s="129"/>
      <c r="H229" s="145"/>
      <c r="I229" s="174"/>
      <c r="J229" s="117"/>
    </row>
    <row r="230" spans="1:12" x14ac:dyDescent="0.25">
      <c r="A230" s="632" t="s">
        <v>260</v>
      </c>
      <c r="B230" s="677"/>
      <c r="C230" s="633"/>
      <c r="D230" s="210"/>
      <c r="E230" s="210" t="s">
        <v>19</v>
      </c>
      <c r="F230" s="378">
        <v>0</v>
      </c>
      <c r="G230" s="378">
        <v>0</v>
      </c>
      <c r="H230" s="378">
        <v>0</v>
      </c>
      <c r="I230" s="117"/>
      <c r="J230" s="117"/>
    </row>
    <row r="233" spans="1:12" s="84" customFormat="1" ht="18.75" x14ac:dyDescent="0.3">
      <c r="A233" s="183" t="s">
        <v>567</v>
      </c>
      <c r="B233" s="183"/>
      <c r="C233" s="183"/>
      <c r="D233" s="184"/>
      <c r="E233" s="184"/>
      <c r="F233" s="184"/>
      <c r="G233" s="184"/>
    </row>
    <row r="234" spans="1:12" s="84" customFormat="1" x14ac:dyDescent="0.25">
      <c r="A234" s="85"/>
      <c r="B234" s="86"/>
      <c r="C234" s="86"/>
      <c r="D234" s="83"/>
    </row>
    <row r="235" spans="1:12" s="84" customFormat="1" ht="42" customHeight="1" x14ac:dyDescent="0.25">
      <c r="A235" s="109" t="s">
        <v>463</v>
      </c>
      <c r="B235" s="679" t="s">
        <v>335</v>
      </c>
      <c r="C235" s="679"/>
      <c r="D235" s="365" t="s">
        <v>464</v>
      </c>
      <c r="E235" s="89"/>
    </row>
    <row r="236" spans="1:12" s="84" customFormat="1" ht="24.75" customHeight="1" x14ac:dyDescent="0.25">
      <c r="A236" s="109">
        <v>1</v>
      </c>
      <c r="B236" s="678" t="s">
        <v>465</v>
      </c>
      <c r="C236" s="678"/>
      <c r="D236" s="91">
        <f>J20+G37+G45+G63+H84+G99+F114+F129+G146+F157+G168+F179+F190+E200+G210+G220+G230</f>
        <v>1153010.1674476801</v>
      </c>
      <c r="E236" s="89"/>
    </row>
    <row r="237" spans="1:12" s="84" customFormat="1" ht="24.75" customHeight="1" x14ac:dyDescent="0.25">
      <c r="A237" s="109">
        <v>2</v>
      </c>
      <c r="B237" s="678" t="s">
        <v>466</v>
      </c>
      <c r="C237" s="678"/>
      <c r="D237" s="91">
        <f>J25+H37+H45+H63+I84+H99+G114+G129+H146+G157+H168+G179+G190+F200+H210+H220+H230</f>
        <v>0</v>
      </c>
      <c r="E237" s="195"/>
      <c r="L237" s="257">
        <f>'1 раздел'!Q5</f>
        <v>1153010.17</v>
      </c>
    </row>
    <row r="238" spans="1:12" s="84" customFormat="1" ht="25.5" customHeight="1" x14ac:dyDescent="0.25">
      <c r="A238" s="561" t="s">
        <v>360</v>
      </c>
      <c r="B238" s="562"/>
      <c r="C238" s="563"/>
      <c r="D238" s="185">
        <f>SUM(D236:D237)</f>
        <v>1153010.1674476801</v>
      </c>
      <c r="E238" s="195"/>
      <c r="L238" s="257">
        <f>L237-D238</f>
        <v>2.5523197837173939E-3</v>
      </c>
    </row>
    <row r="241" spans="1:7" s="84" customFormat="1" x14ac:dyDescent="0.25">
      <c r="A241" s="96" t="s">
        <v>467</v>
      </c>
      <c r="B241" s="96"/>
      <c r="C241" s="97"/>
      <c r="D241" s="443"/>
      <c r="E241" s="443"/>
      <c r="F241" s="85" t="s">
        <v>634</v>
      </c>
      <c r="G241" s="85"/>
    </row>
    <row r="242" spans="1:7" s="84" customFormat="1" x14ac:dyDescent="0.25">
      <c r="A242" s="98"/>
      <c r="B242" s="99"/>
      <c r="C242" s="99"/>
      <c r="D242" s="445" t="s">
        <v>468</v>
      </c>
      <c r="E242" s="445"/>
      <c r="F242" s="445"/>
      <c r="G242" s="445"/>
    </row>
    <row r="243" spans="1:7" s="84" customFormat="1" x14ac:dyDescent="0.25">
      <c r="A243" s="96" t="s">
        <v>469</v>
      </c>
      <c r="B243" s="96"/>
      <c r="C243" s="97"/>
      <c r="D243" s="443"/>
      <c r="E243" s="443"/>
      <c r="F243" s="85" t="s">
        <v>645</v>
      </c>
      <c r="G243" s="85"/>
    </row>
    <row r="244" spans="1:7" s="84" customFormat="1" x14ac:dyDescent="0.25">
      <c r="A244" s="98"/>
      <c r="B244" s="99"/>
      <c r="C244" s="99"/>
      <c r="D244" s="445" t="s">
        <v>468</v>
      </c>
      <c r="E244" s="445"/>
      <c r="F244" s="445"/>
      <c r="G244" s="445"/>
    </row>
  </sheetData>
  <mergeCells count="179">
    <mergeCell ref="D244:E244"/>
    <mergeCell ref="F244:G244"/>
    <mergeCell ref="B237:C237"/>
    <mergeCell ref="A238:C238"/>
    <mergeCell ref="D241:E241"/>
    <mergeCell ref="D242:E242"/>
    <mergeCell ref="F242:G242"/>
    <mergeCell ref="D243:E243"/>
    <mergeCell ref="B227:C227"/>
    <mergeCell ref="B228:C228"/>
    <mergeCell ref="B229:C229"/>
    <mergeCell ref="A230:C230"/>
    <mergeCell ref="B235:C235"/>
    <mergeCell ref="B236:C236"/>
    <mergeCell ref="A220:C220"/>
    <mergeCell ref="A221:K221"/>
    <mergeCell ref="A225:A226"/>
    <mergeCell ref="B225:C226"/>
    <mergeCell ref="D225:D226"/>
    <mergeCell ref="E225:E226"/>
    <mergeCell ref="F225:H225"/>
    <mergeCell ref="E214:E215"/>
    <mergeCell ref="F214:H214"/>
    <mergeCell ref="B216:C216"/>
    <mergeCell ref="B217:C217"/>
    <mergeCell ref="B218:C218"/>
    <mergeCell ref="B219:C219"/>
    <mergeCell ref="B208:C208"/>
    <mergeCell ref="B209:C209"/>
    <mergeCell ref="A210:C210"/>
    <mergeCell ref="A214:A215"/>
    <mergeCell ref="B214:C215"/>
    <mergeCell ref="D214:D215"/>
    <mergeCell ref="A200:B200"/>
    <mergeCell ref="A202:K202"/>
    <mergeCell ref="A206:A207"/>
    <mergeCell ref="B206:C207"/>
    <mergeCell ref="D206:D207"/>
    <mergeCell ref="E206:E207"/>
    <mergeCell ref="F206:H206"/>
    <mergeCell ref="A190:B190"/>
    <mergeCell ref="A192:K192"/>
    <mergeCell ref="A196:A197"/>
    <mergeCell ref="B196:B197"/>
    <mergeCell ref="C196:C197"/>
    <mergeCell ref="D196:F196"/>
    <mergeCell ref="A179:B179"/>
    <mergeCell ref="A181:K181"/>
    <mergeCell ref="A185:A186"/>
    <mergeCell ref="B185:B186"/>
    <mergeCell ref="C185:C186"/>
    <mergeCell ref="D185:D186"/>
    <mergeCell ref="E185:G185"/>
    <mergeCell ref="A168:B168"/>
    <mergeCell ref="A170:K170"/>
    <mergeCell ref="A174:A175"/>
    <mergeCell ref="B174:B175"/>
    <mergeCell ref="C174:C175"/>
    <mergeCell ref="D174:D175"/>
    <mergeCell ref="E174:G174"/>
    <mergeCell ref="A157:B157"/>
    <mergeCell ref="A159:K159"/>
    <mergeCell ref="A163:A164"/>
    <mergeCell ref="B163:B164"/>
    <mergeCell ref="C163:C164"/>
    <mergeCell ref="D163:D164"/>
    <mergeCell ref="E163:E164"/>
    <mergeCell ref="F163:H163"/>
    <mergeCell ref="A146:B146"/>
    <mergeCell ref="A148:K148"/>
    <mergeCell ref="A152:A153"/>
    <mergeCell ref="B152:B153"/>
    <mergeCell ref="C152:C153"/>
    <mergeCell ref="D152:D153"/>
    <mergeCell ref="E152:G152"/>
    <mergeCell ref="A129:B129"/>
    <mergeCell ref="A131:K131"/>
    <mergeCell ref="A133:K133"/>
    <mergeCell ref="A141:A142"/>
    <mergeCell ref="B141:B142"/>
    <mergeCell ref="C141:C142"/>
    <mergeCell ref="D141:D142"/>
    <mergeCell ref="E141:E142"/>
    <mergeCell ref="F141:H141"/>
    <mergeCell ref="A114:B114"/>
    <mergeCell ref="A116:K116"/>
    <mergeCell ref="A118:K118"/>
    <mergeCell ref="A124:A125"/>
    <mergeCell ref="B124:B125"/>
    <mergeCell ref="C124:C125"/>
    <mergeCell ref="D124:D125"/>
    <mergeCell ref="E124:G124"/>
    <mergeCell ref="A104:E104"/>
    <mergeCell ref="A109:A110"/>
    <mergeCell ref="B109:B110"/>
    <mergeCell ref="C109:C110"/>
    <mergeCell ref="D109:D110"/>
    <mergeCell ref="E109:G109"/>
    <mergeCell ref="B96:C96"/>
    <mergeCell ref="B97:C97"/>
    <mergeCell ref="B98:C98"/>
    <mergeCell ref="A99:C99"/>
    <mergeCell ref="A101:K101"/>
    <mergeCell ref="A103:K103"/>
    <mergeCell ref="A88:K88"/>
    <mergeCell ref="A94:A95"/>
    <mergeCell ref="B94:C95"/>
    <mergeCell ref="D94:D95"/>
    <mergeCell ref="E94:E95"/>
    <mergeCell ref="F94:H94"/>
    <mergeCell ref="B81:D81"/>
    <mergeCell ref="B82:D82"/>
    <mergeCell ref="B83:D83"/>
    <mergeCell ref="A84:D84"/>
    <mergeCell ref="A86:K86"/>
    <mergeCell ref="B75:D75"/>
    <mergeCell ref="B76:D76"/>
    <mergeCell ref="B77:D77"/>
    <mergeCell ref="B78:D78"/>
    <mergeCell ref="B79:D79"/>
    <mergeCell ref="B80:D80"/>
    <mergeCell ref="A63:D63"/>
    <mergeCell ref="A65:K65"/>
    <mergeCell ref="B66:F66"/>
    <mergeCell ref="A67:K67"/>
    <mergeCell ref="A73:A74"/>
    <mergeCell ref="B73:D74"/>
    <mergeCell ref="E73:E74"/>
    <mergeCell ref="F73:F74"/>
    <mergeCell ref="G73:I73"/>
    <mergeCell ref="B57:D57"/>
    <mergeCell ref="B58:D58"/>
    <mergeCell ref="B59:D59"/>
    <mergeCell ref="B60:D60"/>
    <mergeCell ref="B61:D61"/>
    <mergeCell ref="B62:D62"/>
    <mergeCell ref="B51:D51"/>
    <mergeCell ref="B52:D52"/>
    <mergeCell ref="B53:D53"/>
    <mergeCell ref="B54:D54"/>
    <mergeCell ref="B55:D55"/>
    <mergeCell ref="B56:D56"/>
    <mergeCell ref="A45:B45"/>
    <mergeCell ref="B47:I47"/>
    <mergeCell ref="A49:A50"/>
    <mergeCell ref="B49:D50"/>
    <mergeCell ref="E49:E50"/>
    <mergeCell ref="F49:H49"/>
    <mergeCell ref="A37:B37"/>
    <mergeCell ref="B39:F39"/>
    <mergeCell ref="A41:A42"/>
    <mergeCell ref="B41:B42"/>
    <mergeCell ref="C41:C42"/>
    <mergeCell ref="D41:D42"/>
    <mergeCell ref="E41:E42"/>
    <mergeCell ref="F41:H41"/>
    <mergeCell ref="B30:I30"/>
    <mergeCell ref="A32:A33"/>
    <mergeCell ref="B32:B33"/>
    <mergeCell ref="C32:C33"/>
    <mergeCell ref="D32:D33"/>
    <mergeCell ref="E32:E33"/>
    <mergeCell ref="F32:H32"/>
    <mergeCell ref="J12:J14"/>
    <mergeCell ref="K12:K14"/>
    <mergeCell ref="E13:G13"/>
    <mergeCell ref="A26:B26"/>
    <mergeCell ref="A28:K28"/>
    <mergeCell ref="B29:K29"/>
    <mergeCell ref="E1:F1"/>
    <mergeCell ref="A2:K2"/>
    <mergeCell ref="B3:I3"/>
    <mergeCell ref="A4:K4"/>
    <mergeCell ref="A12:A14"/>
    <mergeCell ref="B12:B14"/>
    <mergeCell ref="C12:C14"/>
    <mergeCell ref="D12:G12"/>
    <mergeCell ref="H12:H14"/>
    <mergeCell ref="I12:I14"/>
  </mergeCells>
  <pageMargins left="0.62992125984251968" right="0.19685039370078741" top="0.39370078740157483" bottom="0.43307086614173229" header="0.31496062992125984" footer="0.31496062992125984"/>
  <pageSetup paperSize="9" scale="54" orientation="landscape" r:id="rId1"/>
  <rowBreaks count="3" manualBreakCount="3">
    <brk id="29" max="16383" man="1"/>
    <brk id="64" max="10" man="1"/>
    <brk id="18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tabSelected="1" view="pageBreakPreview" topLeftCell="A16" zoomScale="60" zoomScaleNormal="100" workbookViewId="0">
      <selection activeCell="P26" sqref="P26"/>
    </sheetView>
  </sheetViews>
  <sheetFormatPr defaultRowHeight="15.75" x14ac:dyDescent="0.25"/>
  <cols>
    <col min="1" max="1" width="9.140625" style="94"/>
    <col min="2" max="2" width="18" style="95" customWidth="1"/>
    <col min="3" max="3" width="20.5703125" style="94" customWidth="1"/>
    <col min="4" max="4" width="21.28515625" style="94" customWidth="1"/>
    <col min="5" max="5" width="17.28515625" style="94" customWidth="1"/>
    <col min="6" max="6" width="20.85546875" style="94" customWidth="1"/>
    <col min="7" max="7" width="16.85546875" style="94" customWidth="1"/>
    <col min="8" max="8" width="16.28515625" style="94" customWidth="1"/>
    <col min="9" max="9" width="19.5703125" style="94" customWidth="1"/>
    <col min="10" max="10" width="23" style="94" customWidth="1"/>
    <col min="11" max="11" width="24.42578125" style="94" customWidth="1"/>
    <col min="12" max="16384" width="9.140625" style="94"/>
  </cols>
  <sheetData>
    <row r="1" spans="1:31" ht="15.75" customHeight="1" x14ac:dyDescent="0.25">
      <c r="E1" s="610"/>
      <c r="F1" s="610"/>
    </row>
    <row r="2" spans="1:31" s="115" customFormat="1" ht="40.5" customHeight="1" x14ac:dyDescent="0.3">
      <c r="A2" s="611" t="s">
        <v>481</v>
      </c>
      <c r="B2" s="611"/>
      <c r="C2" s="611"/>
      <c r="D2" s="611"/>
      <c r="E2" s="611"/>
      <c r="F2" s="611"/>
      <c r="G2" s="611"/>
      <c r="H2" s="611"/>
      <c r="I2" s="611"/>
      <c r="J2" s="611"/>
      <c r="K2" s="611"/>
      <c r="L2" s="114"/>
      <c r="M2" s="114"/>
      <c r="N2" s="114"/>
      <c r="O2" s="114"/>
      <c r="P2" s="114"/>
      <c r="Q2" s="114"/>
      <c r="R2" s="114"/>
      <c r="S2" s="114"/>
      <c r="T2" s="114"/>
      <c r="U2" s="114"/>
      <c r="V2" s="114"/>
      <c r="W2" s="114"/>
      <c r="X2" s="114"/>
      <c r="Y2" s="114"/>
      <c r="Z2" s="114"/>
    </row>
    <row r="3" spans="1:31" s="115" customFormat="1" ht="15.75" customHeight="1" x14ac:dyDescent="0.3">
      <c r="B3" s="685"/>
      <c r="C3" s="685"/>
      <c r="D3" s="685"/>
      <c r="E3" s="685"/>
      <c r="F3" s="685"/>
      <c r="G3" s="685"/>
      <c r="H3" s="685"/>
      <c r="I3" s="685"/>
      <c r="J3" s="114"/>
      <c r="K3" s="114"/>
      <c r="L3" s="114"/>
      <c r="M3" s="114"/>
      <c r="N3" s="114"/>
      <c r="O3" s="114"/>
      <c r="P3" s="114"/>
      <c r="Q3" s="114"/>
      <c r="R3" s="114"/>
      <c r="S3" s="114"/>
      <c r="T3" s="114"/>
      <c r="U3" s="114"/>
      <c r="V3" s="114"/>
      <c r="W3" s="114"/>
      <c r="X3" s="114"/>
      <c r="Y3" s="114"/>
      <c r="Z3" s="114"/>
    </row>
    <row r="4" spans="1:31" x14ac:dyDescent="0.25">
      <c r="B4" s="94"/>
      <c r="I4" s="117"/>
      <c r="J4" s="174"/>
      <c r="K4" s="174"/>
    </row>
    <row r="5" spans="1:31" x14ac:dyDescent="0.25">
      <c r="A5" s="589" t="s">
        <v>536</v>
      </c>
      <c r="B5" s="589"/>
      <c r="C5" s="589"/>
      <c r="D5" s="589"/>
      <c r="E5" s="589"/>
      <c r="F5" s="589"/>
      <c r="G5" s="589"/>
      <c r="H5" s="589"/>
      <c r="I5" s="589"/>
      <c r="J5" s="589"/>
      <c r="K5" s="589"/>
    </row>
    <row r="6" spans="1:31" x14ac:dyDescent="0.25">
      <c r="A6" s="147"/>
      <c r="B6" s="117"/>
      <c r="C6" s="147"/>
      <c r="D6" s="147"/>
      <c r="E6" s="147"/>
      <c r="F6" s="147"/>
      <c r="G6" s="117"/>
      <c r="H6" s="174"/>
      <c r="I6" s="174"/>
      <c r="J6" s="117"/>
    </row>
    <row r="7" spans="1:31" ht="15.75" customHeight="1" x14ac:dyDescent="0.25">
      <c r="B7" s="118" t="s">
        <v>579</v>
      </c>
      <c r="C7" s="118"/>
      <c r="K7" s="117"/>
      <c r="L7" s="117"/>
      <c r="M7" s="117"/>
      <c r="N7" s="117"/>
      <c r="O7" s="117"/>
      <c r="P7" s="117"/>
      <c r="Q7" s="117"/>
      <c r="R7" s="117"/>
      <c r="S7" s="117"/>
      <c r="T7" s="117"/>
      <c r="U7" s="117"/>
      <c r="V7" s="117"/>
      <c r="W7" s="117"/>
      <c r="X7" s="117"/>
      <c r="Y7" s="117"/>
      <c r="Z7" s="117"/>
      <c r="AA7" s="117"/>
      <c r="AB7" s="117"/>
      <c r="AC7" s="117"/>
      <c r="AD7" s="117"/>
      <c r="AE7" s="117"/>
    </row>
    <row r="8" spans="1:31" ht="15.75" customHeight="1" x14ac:dyDescent="0.25">
      <c r="B8" s="94"/>
      <c r="K8" s="117"/>
      <c r="L8" s="117"/>
      <c r="M8" s="117"/>
      <c r="N8" s="117"/>
      <c r="O8" s="117"/>
      <c r="P8" s="117"/>
      <c r="Q8" s="117"/>
      <c r="R8" s="117"/>
      <c r="S8" s="117"/>
      <c r="T8" s="117"/>
      <c r="U8" s="117"/>
      <c r="V8" s="117"/>
      <c r="W8" s="117"/>
      <c r="X8" s="117"/>
      <c r="Y8" s="117"/>
      <c r="Z8" s="117"/>
      <c r="AA8" s="117"/>
      <c r="AB8" s="117"/>
      <c r="AC8" s="117"/>
      <c r="AD8" s="117"/>
      <c r="AE8" s="117"/>
    </row>
    <row r="9" spans="1:31" ht="15.75" customHeight="1" x14ac:dyDescent="0.25">
      <c r="B9" s="118" t="s">
        <v>351</v>
      </c>
      <c r="C9" s="118"/>
      <c r="D9" s="118" t="s">
        <v>580</v>
      </c>
      <c r="E9" s="118"/>
      <c r="K9" s="117"/>
      <c r="L9" s="117"/>
      <c r="M9" s="117"/>
      <c r="N9" s="117"/>
      <c r="O9" s="117"/>
      <c r="P9" s="117"/>
      <c r="Q9" s="117"/>
      <c r="R9" s="117"/>
      <c r="S9" s="117"/>
      <c r="T9" s="117"/>
      <c r="U9" s="117"/>
      <c r="V9" s="117"/>
      <c r="W9" s="117"/>
      <c r="X9" s="117"/>
      <c r="Y9" s="117"/>
      <c r="Z9" s="117"/>
      <c r="AA9" s="117"/>
      <c r="AB9" s="117"/>
      <c r="AC9" s="117"/>
      <c r="AD9" s="117"/>
      <c r="AE9" s="117"/>
    </row>
    <row r="10" spans="1:31" x14ac:dyDescent="0.25">
      <c r="A10" s="147"/>
      <c r="B10" s="117"/>
      <c r="C10" s="147"/>
      <c r="D10" s="147"/>
      <c r="E10" s="147"/>
      <c r="F10" s="147"/>
      <c r="G10" s="117"/>
      <c r="H10" s="174"/>
      <c r="I10" s="174"/>
      <c r="J10" s="117"/>
    </row>
    <row r="11" spans="1:31" x14ac:dyDescent="0.25">
      <c r="A11" s="147"/>
      <c r="B11" s="117"/>
      <c r="C11" s="147"/>
      <c r="D11" s="147"/>
      <c r="E11" s="147"/>
      <c r="F11" s="147"/>
      <c r="G11" s="117"/>
      <c r="H11" s="174"/>
      <c r="I11" s="174"/>
      <c r="J11" s="117"/>
    </row>
    <row r="12" spans="1:31" x14ac:dyDescent="0.25">
      <c r="A12" s="178"/>
      <c r="B12" s="178" t="s">
        <v>559</v>
      </c>
      <c r="C12" s="178"/>
      <c r="D12" s="178"/>
      <c r="E12" s="178"/>
      <c r="F12" s="147"/>
      <c r="G12" s="117"/>
      <c r="H12" s="174"/>
      <c r="I12" s="174"/>
      <c r="J12" s="117"/>
    </row>
    <row r="13" spans="1:31" x14ac:dyDescent="0.25">
      <c r="A13" s="147"/>
      <c r="B13" s="117"/>
      <c r="C13" s="147"/>
      <c r="D13" s="147"/>
      <c r="E13" s="147"/>
      <c r="F13" s="147"/>
      <c r="G13" s="117"/>
      <c r="H13" s="174"/>
      <c r="I13" s="174"/>
      <c r="J13" s="117"/>
    </row>
    <row r="14" spans="1:31" x14ac:dyDescent="0.25">
      <c r="A14" s="590" t="s">
        <v>463</v>
      </c>
      <c r="B14" s="592" t="s">
        <v>9</v>
      </c>
      <c r="C14" s="592" t="s">
        <v>276</v>
      </c>
      <c r="D14" s="686" t="s">
        <v>506</v>
      </c>
      <c r="E14" s="686"/>
      <c r="F14" s="686"/>
      <c r="G14" s="686"/>
      <c r="H14" s="174"/>
      <c r="I14" s="174"/>
      <c r="J14" s="117"/>
    </row>
    <row r="15" spans="1:31" ht="31.5" x14ac:dyDescent="0.25">
      <c r="A15" s="591"/>
      <c r="B15" s="592"/>
      <c r="C15" s="592"/>
      <c r="D15" s="166" t="s">
        <v>560</v>
      </c>
      <c r="E15" s="168" t="s">
        <v>492</v>
      </c>
      <c r="F15" s="168" t="s">
        <v>466</v>
      </c>
      <c r="G15" s="186" t="s">
        <v>480</v>
      </c>
      <c r="H15" s="174"/>
      <c r="I15" s="174"/>
      <c r="J15" s="117"/>
    </row>
    <row r="16" spans="1:31" x14ac:dyDescent="0.25">
      <c r="A16" s="176">
        <v>1</v>
      </c>
      <c r="B16" s="177">
        <v>2</v>
      </c>
      <c r="C16" s="177">
        <v>3</v>
      </c>
      <c r="D16" s="171">
        <v>5</v>
      </c>
      <c r="E16" s="142">
        <v>5</v>
      </c>
      <c r="F16" s="142">
        <v>6</v>
      </c>
      <c r="G16" s="142">
        <v>7</v>
      </c>
      <c r="H16" s="174"/>
      <c r="I16" s="174"/>
      <c r="J16" s="117"/>
    </row>
    <row r="17" spans="1:11" x14ac:dyDescent="0.25">
      <c r="A17" s="123"/>
      <c r="B17" s="121"/>
      <c r="C17" s="125"/>
      <c r="D17" s="164"/>
      <c r="E17" s="164"/>
      <c r="F17" s="164"/>
      <c r="G17" s="164"/>
      <c r="H17" s="174"/>
      <c r="I17" s="174"/>
      <c r="J17" s="117"/>
    </row>
    <row r="18" spans="1:11" x14ac:dyDescent="0.25">
      <c r="A18" s="123"/>
      <c r="B18" s="121"/>
      <c r="C18" s="125"/>
      <c r="D18" s="164"/>
      <c r="E18" s="164"/>
      <c r="F18" s="164"/>
      <c r="G18" s="164"/>
      <c r="H18" s="174"/>
      <c r="I18" s="174"/>
      <c r="J18" s="117"/>
    </row>
    <row r="19" spans="1:11" x14ac:dyDescent="0.25">
      <c r="A19" s="608" t="s">
        <v>496</v>
      </c>
      <c r="B19" s="609"/>
      <c r="C19" s="125" t="s">
        <v>19</v>
      </c>
      <c r="D19" s="164"/>
      <c r="E19" s="164"/>
      <c r="F19" s="164"/>
      <c r="G19" s="164"/>
      <c r="H19" s="174"/>
      <c r="I19" s="174"/>
      <c r="J19" s="117"/>
    </row>
    <row r="20" spans="1:11" x14ac:dyDescent="0.25">
      <c r="A20" s="147"/>
      <c r="B20" s="117"/>
      <c r="C20" s="147"/>
      <c r="D20" s="147"/>
      <c r="E20" s="147"/>
      <c r="F20" s="147"/>
      <c r="G20" s="117"/>
      <c r="H20" s="174"/>
      <c r="I20" s="174"/>
      <c r="J20" s="117"/>
    </row>
    <row r="21" spans="1:11" ht="149.25" customHeight="1" x14ac:dyDescent="0.25">
      <c r="A21" s="667" t="s">
        <v>561</v>
      </c>
      <c r="B21" s="667"/>
      <c r="C21" s="667"/>
      <c r="D21" s="667"/>
      <c r="E21" s="667"/>
      <c r="F21" s="667"/>
      <c r="G21" s="667"/>
      <c r="H21" s="667"/>
      <c r="I21" s="667"/>
      <c r="J21" s="667"/>
      <c r="K21" s="667"/>
    </row>
    <row r="22" spans="1:11" x14ac:dyDescent="0.25">
      <c r="A22" s="147"/>
      <c r="B22" s="117"/>
      <c r="C22" s="147"/>
      <c r="D22" s="147"/>
      <c r="E22" s="147"/>
      <c r="F22" s="147"/>
      <c r="G22" s="117"/>
      <c r="H22" s="174"/>
      <c r="I22" s="174"/>
      <c r="J22" s="117"/>
    </row>
    <row r="23" spans="1:11" x14ac:dyDescent="0.25">
      <c r="A23" s="119"/>
      <c r="B23" s="119" t="s">
        <v>562</v>
      </c>
      <c r="C23" s="119"/>
      <c r="D23" s="119"/>
    </row>
    <row r="24" spans="1:11" x14ac:dyDescent="0.25">
      <c r="B24" s="94"/>
    </row>
    <row r="25" spans="1:11" ht="25.5" customHeight="1" x14ac:dyDescent="0.25">
      <c r="A25" s="590" t="s">
        <v>463</v>
      </c>
      <c r="B25" s="590" t="s">
        <v>281</v>
      </c>
      <c r="C25" s="687"/>
      <c r="D25" s="689" t="s">
        <v>323</v>
      </c>
      <c r="E25" s="691" t="s">
        <v>331</v>
      </c>
      <c r="F25" s="693" t="s">
        <v>506</v>
      </c>
      <c r="G25" s="694"/>
      <c r="H25" s="694"/>
      <c r="I25" s="695"/>
      <c r="J25" s="139"/>
    </row>
    <row r="26" spans="1:11" ht="54.75" customHeight="1" x14ac:dyDescent="0.25">
      <c r="A26" s="591"/>
      <c r="B26" s="591"/>
      <c r="C26" s="688"/>
      <c r="D26" s="690"/>
      <c r="E26" s="692"/>
      <c r="F26" s="140" t="s">
        <v>563</v>
      </c>
      <c r="G26" s="140" t="s">
        <v>492</v>
      </c>
      <c r="H26" s="140" t="s">
        <v>466</v>
      </c>
      <c r="I26" s="187" t="s">
        <v>480</v>
      </c>
      <c r="J26" s="141"/>
    </row>
    <row r="27" spans="1:11" ht="15.75" customHeight="1" x14ac:dyDescent="0.25">
      <c r="A27" s="145">
        <v>1</v>
      </c>
      <c r="B27" s="671">
        <v>2</v>
      </c>
      <c r="C27" s="672"/>
      <c r="D27" s="145">
        <v>3</v>
      </c>
      <c r="E27" s="145">
        <v>4</v>
      </c>
      <c r="F27" s="145">
        <v>5</v>
      </c>
      <c r="G27" s="145">
        <v>6</v>
      </c>
      <c r="H27" s="145">
        <v>7</v>
      </c>
      <c r="I27" s="145">
        <v>8</v>
      </c>
      <c r="J27" s="174"/>
    </row>
    <row r="28" spans="1:11" x14ac:dyDescent="0.25">
      <c r="A28" s="129"/>
      <c r="B28" s="663"/>
      <c r="C28" s="665"/>
      <c r="D28" s="129"/>
      <c r="E28" s="129"/>
      <c r="F28" s="129"/>
      <c r="G28" s="145"/>
      <c r="H28" s="145"/>
      <c r="I28" s="145"/>
      <c r="J28" s="117"/>
    </row>
    <row r="29" spans="1:11" x14ac:dyDescent="0.25">
      <c r="A29" s="129"/>
      <c r="B29" s="663"/>
      <c r="C29" s="665"/>
      <c r="D29" s="129"/>
      <c r="E29" s="129"/>
      <c r="F29" s="129"/>
      <c r="G29" s="129"/>
      <c r="H29" s="145"/>
      <c r="I29" s="145"/>
      <c r="J29" s="117"/>
    </row>
    <row r="30" spans="1:11" x14ac:dyDescent="0.25">
      <c r="A30" s="632" t="s">
        <v>260</v>
      </c>
      <c r="B30" s="677"/>
      <c r="C30" s="633"/>
      <c r="D30" s="123"/>
      <c r="E30" s="123" t="s">
        <v>19</v>
      </c>
      <c r="F30" s="123"/>
      <c r="G30" s="129"/>
      <c r="H30" s="129"/>
      <c r="I30" s="129"/>
      <c r="J30" s="117"/>
    </row>
    <row r="31" spans="1:11" x14ac:dyDescent="0.25">
      <c r="B31" s="94"/>
    </row>
    <row r="32" spans="1:11" x14ac:dyDescent="0.25">
      <c r="A32" s="119"/>
      <c r="B32" s="119" t="s">
        <v>564</v>
      </c>
      <c r="C32" s="119"/>
      <c r="D32" s="119"/>
    </row>
    <row r="33" spans="1:11" x14ac:dyDescent="0.25">
      <c r="B33" s="94"/>
    </row>
    <row r="34" spans="1:11" ht="25.5" customHeight="1" x14ac:dyDescent="0.25">
      <c r="A34" s="590" t="s">
        <v>463</v>
      </c>
      <c r="B34" s="590" t="s">
        <v>281</v>
      </c>
      <c r="C34" s="687"/>
      <c r="D34" s="689" t="s">
        <v>323</v>
      </c>
      <c r="E34" s="691" t="s">
        <v>331</v>
      </c>
      <c r="F34" s="696" t="s">
        <v>506</v>
      </c>
      <c r="G34" s="696"/>
      <c r="H34" s="696"/>
      <c r="I34" s="696"/>
      <c r="J34" s="139"/>
    </row>
    <row r="35" spans="1:11" ht="54.75" customHeight="1" x14ac:dyDescent="0.25">
      <c r="A35" s="591"/>
      <c r="B35" s="591"/>
      <c r="C35" s="688"/>
      <c r="D35" s="690"/>
      <c r="E35" s="692"/>
      <c r="F35" s="140" t="s">
        <v>563</v>
      </c>
      <c r="G35" s="140" t="s">
        <v>492</v>
      </c>
      <c r="H35" s="140" t="s">
        <v>466</v>
      </c>
      <c r="I35" s="187" t="s">
        <v>480</v>
      </c>
      <c r="J35" s="141"/>
    </row>
    <row r="36" spans="1:11" ht="15.75" customHeight="1" x14ac:dyDescent="0.25">
      <c r="A36" s="145">
        <v>1</v>
      </c>
      <c r="B36" s="671">
        <v>2</v>
      </c>
      <c r="C36" s="672"/>
      <c r="D36" s="145">
        <v>3</v>
      </c>
      <c r="E36" s="145">
        <v>4</v>
      </c>
      <c r="F36" s="145">
        <v>5</v>
      </c>
      <c r="G36" s="145">
        <v>6</v>
      </c>
      <c r="H36" s="145">
        <v>7</v>
      </c>
      <c r="I36" s="145">
        <v>8</v>
      </c>
      <c r="J36" s="174"/>
    </row>
    <row r="37" spans="1:11" x14ac:dyDescent="0.25">
      <c r="A37" s="129"/>
      <c r="B37" s="663"/>
      <c r="C37" s="665"/>
      <c r="D37" s="129"/>
      <c r="E37" s="129"/>
      <c r="F37" s="129"/>
      <c r="G37" s="145"/>
      <c r="H37" s="145"/>
      <c r="I37" s="145"/>
      <c r="J37" s="117"/>
    </row>
    <row r="38" spans="1:11" x14ac:dyDescent="0.25">
      <c r="A38" s="129"/>
      <c r="B38" s="663"/>
      <c r="C38" s="665"/>
      <c r="D38" s="129"/>
      <c r="E38" s="129"/>
      <c r="F38" s="129"/>
      <c r="G38" s="129"/>
      <c r="H38" s="145"/>
      <c r="I38" s="145"/>
      <c r="J38" s="117"/>
    </row>
    <row r="39" spans="1:11" x14ac:dyDescent="0.25">
      <c r="A39" s="632" t="s">
        <v>260</v>
      </c>
      <c r="B39" s="677"/>
      <c r="C39" s="633"/>
      <c r="D39" s="123"/>
      <c r="E39" s="123" t="s">
        <v>19</v>
      </c>
      <c r="F39" s="123"/>
      <c r="G39" s="129"/>
      <c r="H39" s="129"/>
      <c r="I39" s="129"/>
      <c r="J39" s="117"/>
    </row>
    <row r="40" spans="1:11" ht="135" customHeight="1" x14ac:dyDescent="0.25">
      <c r="A40" s="653" t="s">
        <v>565</v>
      </c>
      <c r="B40" s="653"/>
      <c r="C40" s="653"/>
      <c r="D40" s="653"/>
      <c r="E40" s="653"/>
      <c r="F40" s="653"/>
      <c r="G40" s="653"/>
      <c r="H40" s="653"/>
      <c r="I40" s="653"/>
      <c r="J40" s="653"/>
      <c r="K40" s="653"/>
    </row>
    <row r="41" spans="1:11" x14ac:dyDescent="0.25">
      <c r="B41" s="94"/>
    </row>
    <row r="43" spans="1:11" s="84" customFormat="1" ht="18.75" x14ac:dyDescent="0.3">
      <c r="A43" s="183" t="s">
        <v>567</v>
      </c>
      <c r="B43" s="183"/>
      <c r="C43" s="183"/>
      <c r="D43" s="184"/>
      <c r="E43" s="184"/>
      <c r="F43" s="184"/>
      <c r="G43" s="184"/>
    </row>
    <row r="44" spans="1:11" s="84" customFormat="1" x14ac:dyDescent="0.25">
      <c r="A44" s="85"/>
      <c r="B44" s="86"/>
      <c r="C44" s="86"/>
      <c r="D44" s="83"/>
    </row>
    <row r="45" spans="1:11" s="84" customFormat="1" ht="42" customHeight="1" x14ac:dyDescent="0.25">
      <c r="A45" s="87" t="s">
        <v>463</v>
      </c>
      <c r="B45" s="697" t="s">
        <v>335</v>
      </c>
      <c r="C45" s="697"/>
      <c r="D45" s="88" t="s">
        <v>464</v>
      </c>
      <c r="E45" s="89"/>
    </row>
    <row r="46" spans="1:11" s="84" customFormat="1" ht="24.75" customHeight="1" x14ac:dyDescent="0.25">
      <c r="A46" s="90">
        <v>1</v>
      </c>
      <c r="B46" s="678" t="s">
        <v>465</v>
      </c>
      <c r="C46" s="678"/>
      <c r="D46" s="91">
        <f>E19+G30+G39</f>
        <v>0</v>
      </c>
      <c r="E46" s="89"/>
    </row>
    <row r="47" spans="1:11" s="84" customFormat="1" ht="24.75" customHeight="1" x14ac:dyDescent="0.25">
      <c r="A47" s="90">
        <v>2</v>
      </c>
      <c r="B47" s="678" t="s">
        <v>466</v>
      </c>
      <c r="C47" s="678"/>
      <c r="D47" s="91">
        <f>F19+H30+H39</f>
        <v>0</v>
      </c>
      <c r="E47" s="92"/>
    </row>
    <row r="48" spans="1:11" s="84" customFormat="1" ht="24.75" customHeight="1" x14ac:dyDescent="0.25">
      <c r="A48" s="90">
        <v>3</v>
      </c>
      <c r="B48" s="561" t="s">
        <v>480</v>
      </c>
      <c r="C48" s="563"/>
      <c r="D48" s="91">
        <f>G19+I30+I39</f>
        <v>0</v>
      </c>
      <c r="E48" s="92"/>
    </row>
    <row r="49" spans="1:7" s="84" customFormat="1" ht="25.5" customHeight="1" x14ac:dyDescent="0.25">
      <c r="A49" s="561" t="s">
        <v>360</v>
      </c>
      <c r="B49" s="562"/>
      <c r="C49" s="563"/>
      <c r="D49" s="185">
        <f>SUM(D46:D48)</f>
        <v>0</v>
      </c>
      <c r="E49" s="92"/>
    </row>
    <row r="52" spans="1:7" s="84" customFormat="1" x14ac:dyDescent="0.25">
      <c r="A52" s="96" t="s">
        <v>467</v>
      </c>
      <c r="B52" s="96"/>
      <c r="C52" s="97"/>
      <c r="D52" s="443"/>
      <c r="E52" s="443"/>
      <c r="F52" s="85"/>
      <c r="G52" s="85"/>
    </row>
    <row r="53" spans="1:7" s="84" customFormat="1" x14ac:dyDescent="0.25">
      <c r="A53" s="98"/>
      <c r="B53" s="99"/>
      <c r="C53" s="99"/>
      <c r="D53" s="445" t="s">
        <v>468</v>
      </c>
      <c r="E53" s="445"/>
      <c r="F53" s="445"/>
      <c r="G53" s="445"/>
    </row>
    <row r="54" spans="1:7" s="84" customFormat="1" x14ac:dyDescent="0.25">
      <c r="A54" s="96" t="s">
        <v>469</v>
      </c>
      <c r="B54" s="96"/>
      <c r="C54" s="97"/>
      <c r="D54" s="443"/>
      <c r="E54" s="443"/>
      <c r="F54" s="85"/>
      <c r="G54" s="85"/>
    </row>
    <row r="55" spans="1:7" s="84" customFormat="1" x14ac:dyDescent="0.25">
      <c r="A55" s="98"/>
      <c r="B55" s="99"/>
      <c r="C55" s="99"/>
      <c r="D55" s="445" t="s">
        <v>468</v>
      </c>
      <c r="E55" s="445"/>
      <c r="F55" s="445"/>
      <c r="G55" s="445"/>
    </row>
  </sheetData>
  <mergeCells count="40">
    <mergeCell ref="D55:E55"/>
    <mergeCell ref="F55:G55"/>
    <mergeCell ref="A39:C39"/>
    <mergeCell ref="A40:K40"/>
    <mergeCell ref="B45:C45"/>
    <mergeCell ref="B46:C46"/>
    <mergeCell ref="B47:C47"/>
    <mergeCell ref="B48:C48"/>
    <mergeCell ref="A49:C49"/>
    <mergeCell ref="D52:E52"/>
    <mergeCell ref="D53:E53"/>
    <mergeCell ref="F53:G53"/>
    <mergeCell ref="D54:E54"/>
    <mergeCell ref="D34:D35"/>
    <mergeCell ref="E34:E35"/>
    <mergeCell ref="F34:I34"/>
    <mergeCell ref="B36:C36"/>
    <mergeCell ref="B37:C37"/>
    <mergeCell ref="B38:C38"/>
    <mergeCell ref="B27:C27"/>
    <mergeCell ref="B28:C28"/>
    <mergeCell ref="B29:C29"/>
    <mergeCell ref="A30:C30"/>
    <mergeCell ref="A34:A35"/>
    <mergeCell ref="B34:C35"/>
    <mergeCell ref="A19:B19"/>
    <mergeCell ref="A21:K21"/>
    <mergeCell ref="A25:A26"/>
    <mergeCell ref="B25:C26"/>
    <mergeCell ref="D25:D26"/>
    <mergeCell ref="E25:E26"/>
    <mergeCell ref="F25:I25"/>
    <mergeCell ref="E1:F1"/>
    <mergeCell ref="A2:K2"/>
    <mergeCell ref="B3:I3"/>
    <mergeCell ref="A5:K5"/>
    <mergeCell ref="A14:A15"/>
    <mergeCell ref="B14:B15"/>
    <mergeCell ref="C14:C15"/>
    <mergeCell ref="D14:G14"/>
  </mergeCells>
  <pageMargins left="0.62992125984251968" right="0.19685039370078741" top="0.39370078740157483" bottom="0.43307086614173229" header="0.31496062992125984" footer="0.31496062992125984"/>
  <pageSetup paperSize="9" scale="54" orientation="landscape" verticalDpi="1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3"/>
  <sheetViews>
    <sheetView view="pageBreakPreview" zoomScale="85" zoomScaleNormal="120" zoomScaleSheetLayoutView="85" workbookViewId="0">
      <pane ySplit="7" topLeftCell="A219" activePane="bottomLeft" state="frozen"/>
      <selection pane="bottomLeft" activeCell="E221" sqref="E221"/>
    </sheetView>
  </sheetViews>
  <sheetFormatPr defaultRowHeight="15" x14ac:dyDescent="0.25"/>
  <cols>
    <col min="1" max="1" width="37.85546875" style="702" customWidth="1"/>
    <col min="2" max="2" width="6.28515625" style="702" customWidth="1"/>
    <col min="3" max="3" width="8.5703125" style="702" customWidth="1"/>
    <col min="4" max="4" width="10.28515625" style="702" customWidth="1"/>
    <col min="5" max="5" width="6.28515625" style="702" customWidth="1"/>
    <col min="6" max="6" width="7.42578125" style="702" customWidth="1"/>
    <col min="7" max="7" width="23.42578125" style="702" customWidth="1"/>
    <col min="8" max="9" width="8" style="702" customWidth="1"/>
    <col min="10" max="10" width="13" style="702" customWidth="1"/>
    <col min="11" max="13" width="14.140625" style="703" customWidth="1"/>
    <col min="14" max="14" width="8" style="702" customWidth="1"/>
    <col min="15" max="15" width="35.85546875" style="66" customWidth="1"/>
    <col min="16" max="16" width="9.140625" style="7"/>
    <col min="17" max="17" width="14.85546875" style="7" customWidth="1"/>
    <col min="18" max="18" width="14" style="7" customWidth="1"/>
    <col min="19" max="19" width="10.5703125" style="7" bestFit="1" customWidth="1"/>
    <col min="20" max="20" width="12" style="7" bestFit="1" customWidth="1"/>
    <col min="21" max="16384" width="9.140625" style="7"/>
  </cols>
  <sheetData>
    <row r="1" spans="1:20" ht="15.75" x14ac:dyDescent="0.25">
      <c r="A1" s="698" t="s">
        <v>8</v>
      </c>
      <c r="B1" s="698"/>
      <c r="C1" s="698"/>
      <c r="D1" s="698"/>
      <c r="E1" s="698"/>
      <c r="F1" s="698"/>
      <c r="G1" s="698"/>
      <c r="H1" s="698"/>
      <c r="I1" s="698"/>
      <c r="J1" s="698"/>
      <c r="K1" s="698"/>
      <c r="L1" s="698"/>
      <c r="M1" s="698"/>
      <c r="N1" s="698"/>
      <c r="P1" s="699"/>
      <c r="Q1" s="700" t="s">
        <v>664</v>
      </c>
      <c r="R1" s="700" t="s">
        <v>665</v>
      </c>
    </row>
    <row r="2" spans="1:20" ht="3.75" customHeight="1" x14ac:dyDescent="0.25">
      <c r="A2" s="701"/>
      <c r="P2" s="699"/>
      <c r="Q2" s="704"/>
      <c r="R2" s="704"/>
    </row>
    <row r="3" spans="1:20" ht="18" customHeight="1" x14ac:dyDescent="0.25">
      <c r="A3" s="705" t="s">
        <v>9</v>
      </c>
      <c r="B3" s="705" t="s">
        <v>10</v>
      </c>
      <c r="C3" s="706" t="s">
        <v>11</v>
      </c>
      <c r="D3" s="705" t="s">
        <v>12</v>
      </c>
      <c r="E3" s="705" t="s">
        <v>13</v>
      </c>
      <c r="F3" s="705" t="s">
        <v>14</v>
      </c>
      <c r="G3" s="705" t="s">
        <v>15</v>
      </c>
      <c r="H3" s="707" t="s">
        <v>582</v>
      </c>
      <c r="I3" s="707" t="s">
        <v>598</v>
      </c>
      <c r="J3" s="707" t="s">
        <v>600</v>
      </c>
      <c r="K3" s="707" t="s">
        <v>16</v>
      </c>
      <c r="L3" s="705"/>
      <c r="M3" s="705"/>
      <c r="N3" s="705"/>
      <c r="P3" s="699">
        <v>2</v>
      </c>
      <c r="Q3" s="708">
        <f>K73+K76+K81+K83+K84+K86+K89+K90+K94+K97+K108+K111+K113+K121+K125+K129+K131+K132+K133+K138+K143+K144+K145+K146+K147+K155+K160+K163+K167+K224+K226+K228+K169+K171+K173+K180+K184+K185+K186+K187+K192+K194+K196+K202+K205+K207+K210+K211+K213+K215+K218</f>
        <v>14396538.1</v>
      </c>
      <c r="R3" s="708">
        <f>K19+K26+K234</f>
        <v>13585141.460000001</v>
      </c>
    </row>
    <row r="4" spans="1:20" ht="20.25" customHeight="1" x14ac:dyDescent="0.25">
      <c r="A4" s="705"/>
      <c r="B4" s="705"/>
      <c r="C4" s="706"/>
      <c r="D4" s="705"/>
      <c r="E4" s="705"/>
      <c r="F4" s="705"/>
      <c r="G4" s="709"/>
      <c r="H4" s="710"/>
      <c r="I4" s="710"/>
      <c r="J4" s="710"/>
      <c r="K4" s="707" t="s">
        <v>584</v>
      </c>
      <c r="L4" s="711" t="s">
        <v>585</v>
      </c>
      <c r="M4" s="705" t="s">
        <v>586</v>
      </c>
      <c r="N4" s="706" t="s">
        <v>17</v>
      </c>
      <c r="P4" s="699">
        <v>4</v>
      </c>
      <c r="Q4" s="708">
        <f>K77+K87+K122+K161+K162+K168+K225+K227+K229+K170+K174+K175+K181+K182+K188+K189+K193+K195+K197+K198+K206+K208+K212+K214+K216+K217+K219+K220+K95+K74+K112</f>
        <v>50998881.979999997</v>
      </c>
      <c r="R4" s="708">
        <f>K23</f>
        <v>49609340.450000003</v>
      </c>
      <c r="T4" s="712"/>
    </row>
    <row r="5" spans="1:20" ht="20.25" customHeight="1" x14ac:dyDescent="0.25">
      <c r="A5" s="705"/>
      <c r="B5" s="705"/>
      <c r="C5" s="706"/>
      <c r="D5" s="705"/>
      <c r="E5" s="705"/>
      <c r="F5" s="705"/>
      <c r="G5" s="709"/>
      <c r="H5" s="710"/>
      <c r="I5" s="710"/>
      <c r="J5" s="710"/>
      <c r="K5" s="710"/>
      <c r="L5" s="711"/>
      <c r="M5" s="705"/>
      <c r="N5" s="706"/>
      <c r="P5" s="699">
        <v>5</v>
      </c>
      <c r="Q5" s="708">
        <f>K75+K78+K96+K88+K110+K154+K157+K172+K176+K177+K183+K190+K191+K199+K200+K209+K221</f>
        <v>1153010.17</v>
      </c>
      <c r="R5" s="708">
        <f>K49</f>
        <v>1132603.1400000001</v>
      </c>
    </row>
    <row r="6" spans="1:20" ht="20.25" customHeight="1" x14ac:dyDescent="0.25">
      <c r="A6" s="705"/>
      <c r="B6" s="705"/>
      <c r="C6" s="706"/>
      <c r="D6" s="705"/>
      <c r="E6" s="705"/>
      <c r="F6" s="705"/>
      <c r="G6" s="709"/>
      <c r="H6" s="713"/>
      <c r="I6" s="713"/>
      <c r="J6" s="713"/>
      <c r="K6" s="713"/>
      <c r="L6" s="711"/>
      <c r="M6" s="705"/>
      <c r="N6" s="706"/>
    </row>
    <row r="7" spans="1:20" x14ac:dyDescent="0.25">
      <c r="A7" s="12">
        <v>1</v>
      </c>
      <c r="B7" s="12">
        <v>2</v>
      </c>
      <c r="C7" s="12">
        <v>3</v>
      </c>
      <c r="D7" s="12">
        <v>4</v>
      </c>
      <c r="E7" s="12">
        <v>5</v>
      </c>
      <c r="F7" s="12">
        <v>6</v>
      </c>
      <c r="G7" s="12">
        <v>7</v>
      </c>
      <c r="H7" s="714">
        <v>8</v>
      </c>
      <c r="I7" s="714">
        <v>9</v>
      </c>
      <c r="J7" s="714"/>
      <c r="K7" s="12">
        <v>10</v>
      </c>
      <c r="L7" s="12">
        <v>11</v>
      </c>
      <c r="M7" s="12">
        <v>12</v>
      </c>
      <c r="N7" s="12">
        <v>13</v>
      </c>
    </row>
    <row r="8" spans="1:20" s="720" customFormat="1" ht="25.5" x14ac:dyDescent="0.25">
      <c r="A8" s="715" t="s">
        <v>18</v>
      </c>
      <c r="B8" s="716">
        <v>1</v>
      </c>
      <c r="C8" s="716" t="s">
        <v>19</v>
      </c>
      <c r="D8" s="716" t="s">
        <v>19</v>
      </c>
      <c r="E8" s="716" t="s">
        <v>19</v>
      </c>
      <c r="F8" s="716" t="s">
        <v>19</v>
      </c>
      <c r="G8" s="716" t="s">
        <v>19</v>
      </c>
      <c r="H8" s="716"/>
      <c r="I8" s="716"/>
      <c r="J8" s="716"/>
      <c r="K8" s="717">
        <f>SUM(K10:K13)</f>
        <v>2221345.1999999997</v>
      </c>
      <c r="L8" s="717"/>
      <c r="M8" s="717"/>
      <c r="N8" s="718"/>
      <c r="O8" s="719"/>
    </row>
    <row r="9" spans="1:20" x14ac:dyDescent="0.25">
      <c r="A9" s="721" t="s">
        <v>20</v>
      </c>
      <c r="B9" s="12"/>
      <c r="C9" s="12"/>
      <c r="D9" s="12"/>
      <c r="E9" s="12"/>
      <c r="F9" s="12"/>
      <c r="G9" s="12"/>
      <c r="H9" s="12"/>
      <c r="I9" s="12"/>
      <c r="J9" s="12"/>
      <c r="K9" s="64"/>
      <c r="L9" s="64"/>
      <c r="M9" s="64"/>
      <c r="N9" s="65"/>
    </row>
    <row r="10" spans="1:20" x14ac:dyDescent="0.25">
      <c r="A10" s="16" t="s">
        <v>78</v>
      </c>
      <c r="B10" s="12"/>
      <c r="C10" s="12" t="s">
        <v>19</v>
      </c>
      <c r="D10" s="13" t="s">
        <v>79</v>
      </c>
      <c r="E10" s="13" t="s">
        <v>80</v>
      </c>
      <c r="F10" s="13" t="s">
        <v>773</v>
      </c>
      <c r="G10" s="13" t="s">
        <v>19</v>
      </c>
      <c r="H10" s="13"/>
      <c r="I10" s="13" t="s">
        <v>772</v>
      </c>
      <c r="J10" s="13" t="s">
        <v>771</v>
      </c>
      <c r="K10" s="64">
        <v>811396.64</v>
      </c>
      <c r="L10" s="64"/>
      <c r="M10" s="64"/>
      <c r="N10" s="65"/>
    </row>
    <row r="11" spans="1:20" x14ac:dyDescent="0.25">
      <c r="A11" s="16" t="s">
        <v>78</v>
      </c>
      <c r="B11" s="12"/>
      <c r="C11" s="12" t="s">
        <v>19</v>
      </c>
      <c r="D11" s="13" t="s">
        <v>423</v>
      </c>
      <c r="E11" s="13" t="s">
        <v>125</v>
      </c>
      <c r="F11" s="13" t="s">
        <v>19</v>
      </c>
      <c r="G11" s="13" t="s">
        <v>19</v>
      </c>
      <c r="H11" s="13"/>
      <c r="I11" s="13"/>
      <c r="J11" s="13" t="s">
        <v>606</v>
      </c>
      <c r="K11" s="64">
        <f>59330+196175.38+74180.99+242203.61</f>
        <v>571889.98</v>
      </c>
      <c r="L11" s="64"/>
      <c r="M11" s="64"/>
      <c r="N11" s="65"/>
    </row>
    <row r="12" spans="1:20" x14ac:dyDescent="0.25">
      <c r="A12" s="16" t="s">
        <v>78</v>
      </c>
      <c r="B12" s="12"/>
      <c r="C12" s="12" t="s">
        <v>19</v>
      </c>
      <c r="D12" s="13" t="s">
        <v>423</v>
      </c>
      <c r="E12" s="13" t="s">
        <v>125</v>
      </c>
      <c r="F12" s="13" t="s">
        <v>19</v>
      </c>
      <c r="G12" s="13" t="s">
        <v>19</v>
      </c>
      <c r="H12" s="13"/>
      <c r="I12" s="13"/>
      <c r="J12" s="13" t="s">
        <v>632</v>
      </c>
      <c r="K12" s="64">
        <f>243685.56+573965.99</f>
        <v>817651.55</v>
      </c>
      <c r="L12" s="64"/>
      <c r="M12" s="64"/>
      <c r="N12" s="65"/>
    </row>
    <row r="13" spans="1:20" x14ac:dyDescent="0.25">
      <c r="A13" s="16" t="s">
        <v>78</v>
      </c>
      <c r="B13" s="12"/>
      <c r="C13" s="12" t="s">
        <v>19</v>
      </c>
      <c r="D13" s="13" t="s">
        <v>425</v>
      </c>
      <c r="E13" s="13" t="s">
        <v>424</v>
      </c>
      <c r="F13" s="13" t="s">
        <v>19</v>
      </c>
      <c r="G13" s="13" t="s">
        <v>19</v>
      </c>
      <c r="H13" s="13"/>
      <c r="I13" s="13"/>
      <c r="J13" s="13" t="s">
        <v>632</v>
      </c>
      <c r="K13" s="64">
        <v>20407.03</v>
      </c>
      <c r="L13" s="64"/>
      <c r="M13" s="64"/>
      <c r="N13" s="65"/>
    </row>
    <row r="14" spans="1:20" s="720" customFormat="1" ht="25.5" x14ac:dyDescent="0.25">
      <c r="A14" s="715" t="s">
        <v>21</v>
      </c>
      <c r="B14" s="716">
        <v>2</v>
      </c>
      <c r="C14" s="716" t="s">
        <v>19</v>
      </c>
      <c r="D14" s="716" t="s">
        <v>19</v>
      </c>
      <c r="E14" s="716" t="s">
        <v>19</v>
      </c>
      <c r="F14" s="716" t="s">
        <v>19</v>
      </c>
      <c r="G14" s="716" t="s">
        <v>19</v>
      </c>
      <c r="H14" s="716"/>
      <c r="I14" s="716"/>
      <c r="J14" s="716"/>
      <c r="K14" s="717">
        <f>K8+K15-K67</f>
        <v>0</v>
      </c>
      <c r="L14" s="717">
        <f>L8+L15-L67</f>
        <v>0</v>
      </c>
      <c r="M14" s="717">
        <f>M8+M15-M67</f>
        <v>0</v>
      </c>
      <c r="N14" s="718"/>
      <c r="O14" s="719"/>
      <c r="S14" s="722"/>
    </row>
    <row r="15" spans="1:20" s="720" customFormat="1" x14ac:dyDescent="0.25">
      <c r="A15" s="723" t="s">
        <v>22</v>
      </c>
      <c r="B15" s="716">
        <v>1000</v>
      </c>
      <c r="C15" s="716"/>
      <c r="D15" s="724"/>
      <c r="E15" s="725"/>
      <c r="F15" s="726"/>
      <c r="G15" s="725"/>
      <c r="H15" s="725"/>
      <c r="I15" s="725"/>
      <c r="J15" s="725"/>
      <c r="K15" s="727">
        <f>K17+K21+K33+K40+K47+K56+K62+K234</f>
        <v>64327085.049999997</v>
      </c>
      <c r="L15" s="727">
        <f>L17+L21+L33+L40+L47+L56+L62</f>
        <v>63980916.089999996</v>
      </c>
      <c r="M15" s="727">
        <f>M17+M21+M33+M40+M47+M56+M62</f>
        <v>64307954.809999995</v>
      </c>
      <c r="N15" s="728"/>
      <c r="O15" s="719"/>
    </row>
    <row r="16" spans="1:20" x14ac:dyDescent="0.25">
      <c r="A16" s="729" t="s">
        <v>23</v>
      </c>
      <c r="B16" s="730"/>
      <c r="C16" s="731"/>
      <c r="D16" s="13"/>
      <c r="E16" s="13"/>
      <c r="F16" s="731"/>
      <c r="G16" s="13"/>
      <c r="H16" s="13"/>
      <c r="I16" s="13"/>
      <c r="J16" s="13"/>
      <c r="K16" s="13"/>
      <c r="L16" s="13"/>
      <c r="M16" s="13"/>
      <c r="N16" s="13"/>
    </row>
    <row r="17" spans="1:14" x14ac:dyDescent="0.25">
      <c r="A17" s="729" t="s">
        <v>24</v>
      </c>
      <c r="B17" s="731">
        <v>1100</v>
      </c>
      <c r="C17" s="731">
        <v>120</v>
      </c>
      <c r="D17" s="732" t="s">
        <v>79</v>
      </c>
      <c r="E17" s="732" t="s">
        <v>80</v>
      </c>
      <c r="F17" s="731">
        <v>120</v>
      </c>
      <c r="G17" s="13" t="s">
        <v>19</v>
      </c>
      <c r="H17" s="733" t="s">
        <v>587</v>
      </c>
      <c r="I17" s="733"/>
      <c r="J17" s="733"/>
      <c r="K17" s="734">
        <f>K19+K20</f>
        <v>246609.16</v>
      </c>
      <c r="L17" s="734">
        <f>L19+L20</f>
        <v>228955</v>
      </c>
      <c r="M17" s="734">
        <f>M19+M20</f>
        <v>238342</v>
      </c>
      <c r="N17" s="734"/>
    </row>
    <row r="18" spans="1:14" x14ac:dyDescent="0.25">
      <c r="A18" s="735" t="s">
        <v>23</v>
      </c>
      <c r="B18" s="736"/>
      <c r="C18" s="737"/>
      <c r="D18" s="737"/>
      <c r="E18" s="737"/>
      <c r="F18" s="737"/>
      <c r="G18" s="737"/>
      <c r="H18" s="737"/>
      <c r="I18" s="737"/>
      <c r="J18" s="737"/>
      <c r="K18" s="738"/>
      <c r="L18" s="738"/>
      <c r="M18" s="738"/>
      <c r="N18" s="739"/>
    </row>
    <row r="19" spans="1:14" x14ac:dyDescent="0.25">
      <c r="A19" s="740" t="s">
        <v>86</v>
      </c>
      <c r="B19" s="714">
        <v>1110</v>
      </c>
      <c r="C19" s="714">
        <v>121</v>
      </c>
      <c r="D19" s="732" t="s">
        <v>79</v>
      </c>
      <c r="E19" s="732" t="s">
        <v>80</v>
      </c>
      <c r="F19" s="714">
        <v>121</v>
      </c>
      <c r="G19" s="13" t="s">
        <v>19</v>
      </c>
      <c r="H19" s="732" t="s">
        <v>587</v>
      </c>
      <c r="I19" s="732" t="s">
        <v>772</v>
      </c>
      <c r="J19" s="732" t="s">
        <v>771</v>
      </c>
      <c r="K19" s="741">
        <v>246609.16</v>
      </c>
      <c r="L19" s="741">
        <v>228955</v>
      </c>
      <c r="M19" s="741">
        <v>238342</v>
      </c>
      <c r="N19" s="742"/>
    </row>
    <row r="20" spans="1:14" ht="25.5" x14ac:dyDescent="0.25">
      <c r="A20" s="740" t="s">
        <v>82</v>
      </c>
      <c r="B20" s="12">
        <v>1120</v>
      </c>
      <c r="C20" s="12">
        <v>123</v>
      </c>
      <c r="D20" s="13" t="s">
        <v>79</v>
      </c>
      <c r="E20" s="13" t="s">
        <v>80</v>
      </c>
      <c r="F20" s="12">
        <v>123</v>
      </c>
      <c r="G20" s="13" t="s">
        <v>19</v>
      </c>
      <c r="H20" s="13" t="s">
        <v>587</v>
      </c>
      <c r="I20" s="13"/>
      <c r="J20" s="13"/>
      <c r="K20" s="64"/>
      <c r="L20" s="64"/>
      <c r="M20" s="64"/>
      <c r="N20" s="65"/>
    </row>
    <row r="21" spans="1:14" ht="25.5" x14ac:dyDescent="0.25">
      <c r="A21" s="743" t="s">
        <v>25</v>
      </c>
      <c r="B21" s="744">
        <v>1200</v>
      </c>
      <c r="C21" s="733" t="s">
        <v>90</v>
      </c>
      <c r="D21" s="733" t="s">
        <v>19</v>
      </c>
      <c r="E21" s="733" t="s">
        <v>19</v>
      </c>
      <c r="F21" s="733" t="s">
        <v>90</v>
      </c>
      <c r="G21" s="13" t="s">
        <v>19</v>
      </c>
      <c r="H21" s="733" t="s">
        <v>90</v>
      </c>
      <c r="I21" s="733"/>
      <c r="J21" s="733"/>
      <c r="K21" s="745">
        <f>K23+K26</f>
        <v>63063680.75</v>
      </c>
      <c r="L21" s="745">
        <f>L23+L26</f>
        <v>62877500.459999993</v>
      </c>
      <c r="M21" s="745">
        <f>M23+M26</f>
        <v>63290014.329999998</v>
      </c>
      <c r="N21" s="745">
        <f>N23+N26</f>
        <v>0</v>
      </c>
    </row>
    <row r="22" spans="1:14" x14ac:dyDescent="0.25">
      <c r="A22" s="735" t="s">
        <v>23</v>
      </c>
      <c r="B22" s="746"/>
      <c r="C22" s="747"/>
      <c r="D22" s="737"/>
      <c r="E22" s="737"/>
      <c r="F22" s="747"/>
      <c r="G22" s="737"/>
      <c r="H22" s="737"/>
      <c r="I22" s="737"/>
      <c r="J22" s="737"/>
      <c r="K22" s="738"/>
      <c r="L22" s="738"/>
      <c r="M22" s="738"/>
      <c r="N22" s="748"/>
    </row>
    <row r="23" spans="1:14" ht="25.5" x14ac:dyDescent="0.25">
      <c r="A23" s="16" t="s">
        <v>430</v>
      </c>
      <c r="B23" s="714">
        <v>1210</v>
      </c>
      <c r="C23" s="714">
        <v>130</v>
      </c>
      <c r="D23" s="732" t="s">
        <v>423</v>
      </c>
      <c r="E23" s="732" t="s">
        <v>125</v>
      </c>
      <c r="F23" s="714">
        <v>131</v>
      </c>
      <c r="G23" s="13" t="s">
        <v>19</v>
      </c>
      <c r="H23" s="732" t="s">
        <v>90</v>
      </c>
      <c r="I23" s="732"/>
      <c r="J23" s="732"/>
      <c r="K23" s="741">
        <f>SUM(K24:K25)</f>
        <v>49609340.450000003</v>
      </c>
      <c r="L23" s="741">
        <f>SUM(L24:L25)</f>
        <v>48979486.549999997</v>
      </c>
      <c r="M23" s="741">
        <f>SUM(M24:M25)</f>
        <v>48979486.549999997</v>
      </c>
      <c r="N23" s="741">
        <f>SUM(N24:N25)</f>
        <v>0</v>
      </c>
    </row>
    <row r="24" spans="1:14" ht="42" customHeight="1" x14ac:dyDescent="0.25">
      <c r="A24" s="16" t="s">
        <v>26</v>
      </c>
      <c r="B24" s="714">
        <v>1210</v>
      </c>
      <c r="C24" s="714">
        <v>130</v>
      </c>
      <c r="D24" s="732" t="s">
        <v>423</v>
      </c>
      <c r="E24" s="732" t="s">
        <v>125</v>
      </c>
      <c r="F24" s="714">
        <v>131</v>
      </c>
      <c r="G24" s="13" t="s">
        <v>19</v>
      </c>
      <c r="H24" s="732" t="s">
        <v>90</v>
      </c>
      <c r="I24" s="732"/>
      <c r="J24" s="732" t="s">
        <v>606</v>
      </c>
      <c r="K24" s="749">
        <f>11142757.55-133783.02+283952.57-19266.65-59328</f>
        <v>11214332.450000001</v>
      </c>
      <c r="L24" s="741">
        <v>11142757.549999999</v>
      </c>
      <c r="M24" s="741">
        <v>11142757.549999999</v>
      </c>
      <c r="N24" s="750"/>
    </row>
    <row r="25" spans="1:14" ht="42" customHeight="1" x14ac:dyDescent="0.25">
      <c r="A25" s="16" t="s">
        <v>26</v>
      </c>
      <c r="B25" s="714">
        <v>1210</v>
      </c>
      <c r="C25" s="714">
        <v>130</v>
      </c>
      <c r="D25" s="732" t="s">
        <v>423</v>
      </c>
      <c r="E25" s="732" t="s">
        <v>125</v>
      </c>
      <c r="F25" s="714">
        <v>131</v>
      </c>
      <c r="G25" s="13" t="s">
        <v>19</v>
      </c>
      <c r="H25" s="732" t="s">
        <v>90</v>
      </c>
      <c r="I25" s="732"/>
      <c r="J25" s="732" t="s">
        <v>632</v>
      </c>
      <c r="K25" s="749">
        <f>37836729+558279</f>
        <v>38395008</v>
      </c>
      <c r="L25" s="741">
        <v>37836729</v>
      </c>
      <c r="M25" s="741">
        <v>37836729</v>
      </c>
      <c r="N25" s="750"/>
    </row>
    <row r="26" spans="1:14" ht="25.5" x14ac:dyDescent="0.25">
      <c r="A26" s="16" t="s">
        <v>27</v>
      </c>
      <c r="B26" s="744">
        <v>1220</v>
      </c>
      <c r="C26" s="744">
        <v>130</v>
      </c>
      <c r="D26" s="732" t="s">
        <v>79</v>
      </c>
      <c r="E26" s="732" t="s">
        <v>80</v>
      </c>
      <c r="F26" s="744">
        <v>130</v>
      </c>
      <c r="G26" s="13" t="s">
        <v>19</v>
      </c>
      <c r="H26" s="733" t="s">
        <v>90</v>
      </c>
      <c r="I26" s="733"/>
      <c r="J26" s="733"/>
      <c r="K26" s="745">
        <f>K28+K29+K30+K31+K32</f>
        <v>13454340.300000001</v>
      </c>
      <c r="L26" s="745">
        <f>L28+L29+L30+L31+L32</f>
        <v>13898013.91</v>
      </c>
      <c r="M26" s="745">
        <f>M28+M29+M30+M31+M32</f>
        <v>14310527.779999999</v>
      </c>
      <c r="N26" s="734"/>
    </row>
    <row r="27" spans="1:14" x14ac:dyDescent="0.25">
      <c r="A27" s="751" t="s">
        <v>23</v>
      </c>
      <c r="B27" s="736"/>
      <c r="C27" s="752"/>
      <c r="D27" s="737"/>
      <c r="E27" s="737"/>
      <c r="F27" s="752"/>
      <c r="G27" s="737"/>
      <c r="H27" s="737"/>
      <c r="I27" s="737"/>
      <c r="J27" s="737"/>
      <c r="K27" s="738"/>
      <c r="L27" s="738"/>
      <c r="M27" s="738"/>
      <c r="N27" s="739"/>
    </row>
    <row r="28" spans="1:14" x14ac:dyDescent="0.25">
      <c r="A28" s="740" t="s">
        <v>83</v>
      </c>
      <c r="B28" s="714">
        <v>1221</v>
      </c>
      <c r="C28" s="714">
        <v>131</v>
      </c>
      <c r="D28" s="732" t="s">
        <v>79</v>
      </c>
      <c r="E28" s="732" t="s">
        <v>80</v>
      </c>
      <c r="F28" s="714">
        <v>131</v>
      </c>
      <c r="G28" s="13" t="s">
        <v>19</v>
      </c>
      <c r="H28" s="733" t="s">
        <v>90</v>
      </c>
      <c r="I28" s="732" t="s">
        <v>772</v>
      </c>
      <c r="J28" s="732" t="s">
        <v>771</v>
      </c>
      <c r="K28" s="741">
        <v>9308000</v>
      </c>
      <c r="L28" s="741">
        <v>9680320</v>
      </c>
      <c r="M28" s="741">
        <v>10077213.119999999</v>
      </c>
      <c r="N28" s="742"/>
    </row>
    <row r="29" spans="1:14" x14ac:dyDescent="0.25">
      <c r="A29" s="740" t="s">
        <v>84</v>
      </c>
      <c r="B29" s="12">
        <v>1222</v>
      </c>
      <c r="C29" s="12">
        <v>131</v>
      </c>
      <c r="D29" s="13" t="s">
        <v>79</v>
      </c>
      <c r="E29" s="13" t="s">
        <v>80</v>
      </c>
      <c r="F29" s="12">
        <v>131</v>
      </c>
      <c r="G29" s="13" t="s">
        <v>19</v>
      </c>
      <c r="H29" s="733" t="s">
        <v>90</v>
      </c>
      <c r="I29" s="732" t="s">
        <v>772</v>
      </c>
      <c r="J29" s="732" t="s">
        <v>771</v>
      </c>
      <c r="K29" s="64">
        <v>3780000</v>
      </c>
      <c r="L29" s="64">
        <v>3836700</v>
      </c>
      <c r="M29" s="64">
        <v>3836700</v>
      </c>
      <c r="N29" s="65"/>
    </row>
    <row r="30" spans="1:14" x14ac:dyDescent="0.25">
      <c r="A30" s="740" t="s">
        <v>85</v>
      </c>
      <c r="B30" s="12">
        <v>1223</v>
      </c>
      <c r="C30" s="12">
        <v>131</v>
      </c>
      <c r="D30" s="13" t="s">
        <v>79</v>
      </c>
      <c r="E30" s="13" t="s">
        <v>80</v>
      </c>
      <c r="F30" s="12">
        <v>131</v>
      </c>
      <c r="G30" s="13" t="s">
        <v>19</v>
      </c>
      <c r="H30" s="733" t="s">
        <v>90</v>
      </c>
      <c r="I30" s="732" t="s">
        <v>772</v>
      </c>
      <c r="J30" s="732" t="s">
        <v>771</v>
      </c>
      <c r="K30" s="64"/>
      <c r="L30" s="64"/>
      <c r="M30" s="64"/>
      <c r="N30" s="65"/>
    </row>
    <row r="31" spans="1:14" x14ac:dyDescent="0.25">
      <c r="A31" s="740" t="s">
        <v>87</v>
      </c>
      <c r="B31" s="12">
        <v>1224</v>
      </c>
      <c r="C31" s="12">
        <v>134</v>
      </c>
      <c r="D31" s="13" t="s">
        <v>79</v>
      </c>
      <c r="E31" s="13" t="s">
        <v>80</v>
      </c>
      <c r="F31" s="12">
        <v>134</v>
      </c>
      <c r="G31" s="13" t="s">
        <v>19</v>
      </c>
      <c r="H31" s="733" t="s">
        <v>90</v>
      </c>
      <c r="I31" s="732" t="s">
        <v>772</v>
      </c>
      <c r="J31" s="732" t="s">
        <v>771</v>
      </c>
      <c r="K31" s="64"/>
      <c r="L31" s="64"/>
      <c r="M31" s="64"/>
      <c r="N31" s="65"/>
    </row>
    <row r="32" spans="1:14" x14ac:dyDescent="0.25">
      <c r="A32" s="740" t="s">
        <v>88</v>
      </c>
      <c r="B32" s="12">
        <v>1225</v>
      </c>
      <c r="C32" s="12">
        <v>135</v>
      </c>
      <c r="D32" s="13" t="s">
        <v>79</v>
      </c>
      <c r="E32" s="13" t="s">
        <v>80</v>
      </c>
      <c r="F32" s="12">
        <v>135</v>
      </c>
      <c r="G32" s="13" t="s">
        <v>19</v>
      </c>
      <c r="H32" s="733" t="s">
        <v>90</v>
      </c>
      <c r="I32" s="732" t="s">
        <v>772</v>
      </c>
      <c r="J32" s="732" t="s">
        <v>771</v>
      </c>
      <c r="K32" s="64">
        <v>366340.3</v>
      </c>
      <c r="L32" s="64">
        <v>380993.91</v>
      </c>
      <c r="M32" s="64">
        <v>396614.66</v>
      </c>
      <c r="N32" s="65"/>
    </row>
    <row r="33" spans="1:14" ht="28.5" customHeight="1" x14ac:dyDescent="0.25">
      <c r="A33" s="729" t="s">
        <v>28</v>
      </c>
      <c r="B33" s="744">
        <v>1300</v>
      </c>
      <c r="C33" s="744">
        <v>140</v>
      </c>
      <c r="D33" s="733"/>
      <c r="E33" s="733"/>
      <c r="F33" s="744">
        <v>140</v>
      </c>
      <c r="G33" s="13" t="s">
        <v>19</v>
      </c>
      <c r="H33" s="733" t="s">
        <v>588</v>
      </c>
      <c r="I33" s="733"/>
      <c r="J33" s="733"/>
      <c r="K33" s="745">
        <f>K35+K39</f>
        <v>0</v>
      </c>
      <c r="L33" s="745">
        <f>L35+L39</f>
        <v>0</v>
      </c>
      <c r="M33" s="745">
        <f>M35+M39</f>
        <v>0</v>
      </c>
      <c r="N33" s="734"/>
    </row>
    <row r="34" spans="1:14" x14ac:dyDescent="0.25">
      <c r="A34" s="735" t="s">
        <v>23</v>
      </c>
      <c r="B34" s="736"/>
      <c r="C34" s="753"/>
      <c r="D34" s="737"/>
      <c r="E34" s="737"/>
      <c r="F34" s="753"/>
      <c r="G34" s="737"/>
      <c r="H34" s="737"/>
      <c r="I34" s="737"/>
      <c r="J34" s="737"/>
      <c r="K34" s="738"/>
      <c r="L34" s="738"/>
      <c r="M34" s="738"/>
      <c r="N34" s="739"/>
    </row>
    <row r="35" spans="1:14" ht="51" x14ac:dyDescent="0.25">
      <c r="A35" s="740" t="s">
        <v>89</v>
      </c>
      <c r="B35" s="714">
        <v>1310</v>
      </c>
      <c r="C35" s="714">
        <v>141</v>
      </c>
      <c r="D35" s="732" t="s">
        <v>79</v>
      </c>
      <c r="E35" s="732" t="s">
        <v>80</v>
      </c>
      <c r="F35" s="714">
        <v>141</v>
      </c>
      <c r="G35" s="13" t="s">
        <v>19</v>
      </c>
      <c r="H35" s="733" t="s">
        <v>588</v>
      </c>
      <c r="I35" s="732" t="s">
        <v>772</v>
      </c>
      <c r="J35" s="732" t="s">
        <v>771</v>
      </c>
      <c r="K35" s="741"/>
      <c r="L35" s="741"/>
      <c r="M35" s="741"/>
      <c r="N35" s="742"/>
    </row>
    <row r="36" spans="1:14" ht="25.5" x14ac:dyDescent="0.25">
      <c r="A36" s="740" t="s">
        <v>93</v>
      </c>
      <c r="B36" s="12">
        <v>1320</v>
      </c>
      <c r="C36" s="12">
        <v>142</v>
      </c>
      <c r="D36" s="13" t="s">
        <v>79</v>
      </c>
      <c r="E36" s="13" t="s">
        <v>80</v>
      </c>
      <c r="F36" s="12">
        <v>142</v>
      </c>
      <c r="G36" s="13" t="s">
        <v>19</v>
      </c>
      <c r="H36" s="733" t="s">
        <v>588</v>
      </c>
      <c r="I36" s="732" t="s">
        <v>772</v>
      </c>
      <c r="J36" s="732" t="s">
        <v>771</v>
      </c>
      <c r="K36" s="64"/>
      <c r="L36" s="64"/>
      <c r="M36" s="64"/>
      <c r="N36" s="65"/>
    </row>
    <row r="37" spans="1:14" ht="18.75" customHeight="1" x14ac:dyDescent="0.25">
      <c r="A37" s="740" t="s">
        <v>94</v>
      </c>
      <c r="B37" s="12">
        <v>1330</v>
      </c>
      <c r="C37" s="12">
        <v>143</v>
      </c>
      <c r="D37" s="13" t="s">
        <v>79</v>
      </c>
      <c r="E37" s="13" t="s">
        <v>80</v>
      </c>
      <c r="F37" s="12">
        <v>143</v>
      </c>
      <c r="G37" s="13" t="s">
        <v>19</v>
      </c>
      <c r="H37" s="733" t="s">
        <v>588</v>
      </c>
      <c r="I37" s="732" t="s">
        <v>772</v>
      </c>
      <c r="J37" s="732" t="s">
        <v>771</v>
      </c>
      <c r="K37" s="64"/>
      <c r="L37" s="64"/>
      <c r="M37" s="64"/>
      <c r="N37" s="65"/>
    </row>
    <row r="38" spans="1:14" ht="38.25" x14ac:dyDescent="0.25">
      <c r="A38" s="740" t="s">
        <v>91</v>
      </c>
      <c r="B38" s="12">
        <v>1340</v>
      </c>
      <c r="C38" s="12">
        <v>144</v>
      </c>
      <c r="D38" s="13" t="s">
        <v>79</v>
      </c>
      <c r="E38" s="13" t="s">
        <v>80</v>
      </c>
      <c r="F38" s="12">
        <v>144</v>
      </c>
      <c r="G38" s="13" t="s">
        <v>19</v>
      </c>
      <c r="H38" s="733" t="s">
        <v>588</v>
      </c>
      <c r="I38" s="732" t="s">
        <v>772</v>
      </c>
      <c r="J38" s="732" t="s">
        <v>771</v>
      </c>
      <c r="K38" s="64"/>
      <c r="L38" s="64"/>
      <c r="M38" s="64"/>
      <c r="N38" s="65"/>
    </row>
    <row r="39" spans="1:14" ht="25.5" x14ac:dyDescent="0.25">
      <c r="A39" s="740" t="s">
        <v>95</v>
      </c>
      <c r="B39" s="12">
        <v>1350</v>
      </c>
      <c r="C39" s="12">
        <v>145</v>
      </c>
      <c r="D39" s="13" t="s">
        <v>79</v>
      </c>
      <c r="E39" s="13" t="s">
        <v>80</v>
      </c>
      <c r="F39" s="12">
        <v>145</v>
      </c>
      <c r="G39" s="13" t="s">
        <v>19</v>
      </c>
      <c r="H39" s="733" t="s">
        <v>588</v>
      </c>
      <c r="I39" s="732" t="s">
        <v>772</v>
      </c>
      <c r="J39" s="732" t="s">
        <v>771</v>
      </c>
      <c r="K39" s="64"/>
      <c r="L39" s="64"/>
      <c r="M39" s="64"/>
      <c r="N39" s="65"/>
    </row>
    <row r="40" spans="1:14" ht="25.5" x14ac:dyDescent="0.25">
      <c r="A40" s="729" t="s">
        <v>29</v>
      </c>
      <c r="B40" s="744">
        <v>1400</v>
      </c>
      <c r="C40" s="744">
        <v>150</v>
      </c>
      <c r="D40" s="733"/>
      <c r="E40" s="733"/>
      <c r="F40" s="733" t="s">
        <v>345</v>
      </c>
      <c r="G40" s="13" t="s">
        <v>19</v>
      </c>
      <c r="H40" s="733" t="s">
        <v>345</v>
      </c>
      <c r="I40" s="733"/>
      <c r="J40" s="733"/>
      <c r="K40" s="745">
        <f>K42+K43</f>
        <v>0</v>
      </c>
      <c r="L40" s="745">
        <f>L42+L43</f>
        <v>0</v>
      </c>
      <c r="M40" s="745">
        <f>M42+M43</f>
        <v>0</v>
      </c>
      <c r="N40" s="734"/>
    </row>
    <row r="41" spans="1:14" x14ac:dyDescent="0.25">
      <c r="A41" s="735" t="s">
        <v>23</v>
      </c>
      <c r="B41" s="736"/>
      <c r="C41" s="752"/>
      <c r="D41" s="737"/>
      <c r="E41" s="737"/>
      <c r="F41" s="737"/>
      <c r="G41" s="737"/>
      <c r="H41" s="737"/>
      <c r="I41" s="737"/>
      <c r="J41" s="737"/>
      <c r="K41" s="738"/>
      <c r="L41" s="738"/>
      <c r="M41" s="738"/>
      <c r="N41" s="739"/>
    </row>
    <row r="42" spans="1:14" ht="38.25" x14ac:dyDescent="0.25">
      <c r="A42" s="740" t="s">
        <v>92</v>
      </c>
      <c r="B42" s="714">
        <v>1410</v>
      </c>
      <c r="C42" s="714">
        <v>152</v>
      </c>
      <c r="D42" s="732" t="s">
        <v>79</v>
      </c>
      <c r="E42" s="732" t="s">
        <v>80</v>
      </c>
      <c r="F42" s="732" t="s">
        <v>98</v>
      </c>
      <c r="G42" s="13" t="s">
        <v>19</v>
      </c>
      <c r="H42" s="732" t="s">
        <v>345</v>
      </c>
      <c r="I42" s="732" t="s">
        <v>772</v>
      </c>
      <c r="J42" s="732" t="s">
        <v>771</v>
      </c>
      <c r="K42" s="741"/>
      <c r="L42" s="741"/>
      <c r="M42" s="741"/>
      <c r="N42" s="742"/>
    </row>
    <row r="43" spans="1:14" ht="51" x14ac:dyDescent="0.25">
      <c r="A43" s="740" t="s">
        <v>589</v>
      </c>
      <c r="B43" s="744">
        <v>1430</v>
      </c>
      <c r="C43" s="744">
        <v>155</v>
      </c>
      <c r="D43" s="733" t="s">
        <v>79</v>
      </c>
      <c r="E43" s="733" t="s">
        <v>80</v>
      </c>
      <c r="F43" s="733" t="s">
        <v>81</v>
      </c>
      <c r="G43" s="13" t="s">
        <v>19</v>
      </c>
      <c r="H43" s="733" t="s">
        <v>345</v>
      </c>
      <c r="I43" s="732" t="s">
        <v>772</v>
      </c>
      <c r="J43" s="732" t="s">
        <v>771</v>
      </c>
      <c r="K43" s="745">
        <f>K45+K46</f>
        <v>0</v>
      </c>
      <c r="L43" s="745">
        <f>L45+L46</f>
        <v>0</v>
      </c>
      <c r="M43" s="745">
        <f>M45+M46</f>
        <v>0</v>
      </c>
      <c r="N43" s="734"/>
    </row>
    <row r="44" spans="1:14" x14ac:dyDescent="0.25">
      <c r="A44" s="735" t="s">
        <v>35</v>
      </c>
      <c r="B44" s="736"/>
      <c r="C44" s="752"/>
      <c r="D44" s="737"/>
      <c r="E44" s="737"/>
      <c r="F44" s="737"/>
      <c r="G44" s="737"/>
      <c r="H44" s="737"/>
      <c r="I44" s="737"/>
      <c r="J44" s="737"/>
      <c r="K44" s="738"/>
      <c r="L44" s="738"/>
      <c r="M44" s="738"/>
      <c r="N44" s="739"/>
    </row>
    <row r="45" spans="1:14" x14ac:dyDescent="0.25">
      <c r="A45" s="740" t="s">
        <v>96</v>
      </c>
      <c r="B45" s="714">
        <v>1421</v>
      </c>
      <c r="C45" s="714">
        <v>155</v>
      </c>
      <c r="D45" s="732" t="s">
        <v>79</v>
      </c>
      <c r="E45" s="732" t="s">
        <v>80</v>
      </c>
      <c r="F45" s="732" t="s">
        <v>81</v>
      </c>
      <c r="G45" s="13" t="s">
        <v>19</v>
      </c>
      <c r="H45" s="732" t="s">
        <v>345</v>
      </c>
      <c r="I45" s="732" t="s">
        <v>772</v>
      </c>
      <c r="J45" s="732" t="s">
        <v>771</v>
      </c>
      <c r="K45" s="741"/>
      <c r="L45" s="741"/>
      <c r="M45" s="741"/>
      <c r="N45" s="742"/>
    </row>
    <row r="46" spans="1:14" x14ac:dyDescent="0.25">
      <c r="A46" s="740" t="s">
        <v>97</v>
      </c>
      <c r="B46" s="12">
        <v>1422</v>
      </c>
      <c r="C46" s="12">
        <v>155</v>
      </c>
      <c r="D46" s="13" t="s">
        <v>79</v>
      </c>
      <c r="E46" s="13" t="s">
        <v>80</v>
      </c>
      <c r="F46" s="13" t="s">
        <v>81</v>
      </c>
      <c r="G46" s="13" t="s">
        <v>19</v>
      </c>
      <c r="H46" s="13" t="s">
        <v>345</v>
      </c>
      <c r="I46" s="732" t="s">
        <v>772</v>
      </c>
      <c r="J46" s="732" t="s">
        <v>771</v>
      </c>
      <c r="K46" s="64"/>
      <c r="L46" s="64"/>
      <c r="M46" s="64"/>
      <c r="N46" s="65"/>
    </row>
    <row r="47" spans="1:14" x14ac:dyDescent="0.25">
      <c r="A47" s="729" t="s">
        <v>30</v>
      </c>
      <c r="B47" s="744">
        <v>1500</v>
      </c>
      <c r="C47" s="744">
        <v>180</v>
      </c>
      <c r="D47" s="733"/>
      <c r="E47" s="733"/>
      <c r="F47" s="733"/>
      <c r="G47" s="733"/>
      <c r="H47" s="733"/>
      <c r="I47" s="733"/>
      <c r="J47" s="733"/>
      <c r="K47" s="745">
        <f>K49</f>
        <v>1132603.1400000001</v>
      </c>
      <c r="L47" s="745">
        <f t="shared" ref="L47:M47" si="0">L49</f>
        <v>874460.63</v>
      </c>
      <c r="M47" s="745">
        <f t="shared" si="0"/>
        <v>779598.48</v>
      </c>
      <c r="N47" s="734"/>
    </row>
    <row r="48" spans="1:14" x14ac:dyDescent="0.25">
      <c r="A48" s="735" t="s">
        <v>23</v>
      </c>
      <c r="B48" s="746"/>
      <c r="C48" s="747"/>
      <c r="D48" s="737"/>
      <c r="E48" s="737"/>
      <c r="F48" s="737"/>
      <c r="G48" s="737"/>
      <c r="H48" s="737"/>
      <c r="I48" s="737"/>
      <c r="J48" s="737"/>
      <c r="K48" s="738"/>
      <c r="L48" s="738"/>
      <c r="M48" s="738"/>
      <c r="N48" s="748"/>
    </row>
    <row r="49" spans="1:15" x14ac:dyDescent="0.25">
      <c r="A49" s="16" t="s">
        <v>31</v>
      </c>
      <c r="B49" s="12">
        <v>1510</v>
      </c>
      <c r="C49" s="12">
        <v>180</v>
      </c>
      <c r="D49" s="13" t="s">
        <v>19</v>
      </c>
      <c r="E49" s="732" t="s">
        <v>424</v>
      </c>
      <c r="F49" s="732" t="s">
        <v>98</v>
      </c>
      <c r="G49" s="13" t="s">
        <v>19</v>
      </c>
      <c r="H49" s="732" t="s">
        <v>345</v>
      </c>
      <c r="I49" s="732"/>
      <c r="J49" s="732"/>
      <c r="K49" s="741">
        <f>SUM(K50:K54)</f>
        <v>1132603.1400000001</v>
      </c>
      <c r="L49" s="741">
        <f>SUM(L50:L54)</f>
        <v>874460.63</v>
      </c>
      <c r="M49" s="741">
        <f>SUM(M50:M54)</f>
        <v>779598.48</v>
      </c>
      <c r="N49" s="741">
        <f>SUM(N50:N54)</f>
        <v>0</v>
      </c>
    </row>
    <row r="50" spans="1:15" x14ac:dyDescent="0.25">
      <c r="A50" s="16" t="s">
        <v>31</v>
      </c>
      <c r="B50" s="12">
        <v>1510</v>
      </c>
      <c r="C50" s="12">
        <v>180</v>
      </c>
      <c r="D50" s="13" t="s">
        <v>426</v>
      </c>
      <c r="E50" s="732" t="s">
        <v>424</v>
      </c>
      <c r="F50" s="732" t="s">
        <v>98</v>
      </c>
      <c r="G50" s="13" t="s">
        <v>19</v>
      </c>
      <c r="H50" s="732" t="s">
        <v>345</v>
      </c>
      <c r="I50" s="732"/>
      <c r="J50" s="732" t="s">
        <v>632</v>
      </c>
      <c r="K50" s="741">
        <v>402091.14</v>
      </c>
      <c r="L50" s="741">
        <v>143948.63</v>
      </c>
      <c r="M50" s="741">
        <v>49086.48</v>
      </c>
      <c r="N50" s="754"/>
    </row>
    <row r="51" spans="1:15" x14ac:dyDescent="0.25">
      <c r="A51" s="16" t="s">
        <v>31</v>
      </c>
      <c r="B51" s="12">
        <v>1510</v>
      </c>
      <c r="C51" s="12">
        <v>180</v>
      </c>
      <c r="D51" s="13" t="s">
        <v>607</v>
      </c>
      <c r="E51" s="732" t="s">
        <v>424</v>
      </c>
      <c r="F51" s="732" t="s">
        <v>98</v>
      </c>
      <c r="G51" s="13" t="s">
        <v>19</v>
      </c>
      <c r="H51" s="732" t="s">
        <v>345</v>
      </c>
      <c r="I51" s="732"/>
      <c r="J51" s="732" t="s">
        <v>608</v>
      </c>
      <c r="K51" s="741"/>
      <c r="L51" s="741"/>
      <c r="M51" s="741"/>
      <c r="N51" s="754"/>
    </row>
    <row r="52" spans="1:15" x14ac:dyDescent="0.25">
      <c r="A52" s="16" t="s">
        <v>31</v>
      </c>
      <c r="B52" s="12">
        <v>1510</v>
      </c>
      <c r="C52" s="12">
        <v>180</v>
      </c>
      <c r="D52" s="13" t="s">
        <v>429</v>
      </c>
      <c r="E52" s="732" t="s">
        <v>424</v>
      </c>
      <c r="F52" s="732" t="s">
        <v>98</v>
      </c>
      <c r="G52" s="13" t="s">
        <v>19</v>
      </c>
      <c r="H52" s="732" t="s">
        <v>345</v>
      </c>
      <c r="I52" s="732"/>
      <c r="J52" s="732" t="s">
        <v>610</v>
      </c>
      <c r="K52" s="741"/>
      <c r="L52" s="741"/>
      <c r="M52" s="741"/>
      <c r="N52" s="754"/>
    </row>
    <row r="53" spans="1:15" x14ac:dyDescent="0.25">
      <c r="A53" s="16" t="s">
        <v>31</v>
      </c>
      <c r="B53" s="12">
        <v>1510</v>
      </c>
      <c r="C53" s="12">
        <v>180</v>
      </c>
      <c r="D53" s="13" t="s">
        <v>425</v>
      </c>
      <c r="E53" s="732" t="s">
        <v>424</v>
      </c>
      <c r="F53" s="732" t="s">
        <v>98</v>
      </c>
      <c r="G53" s="13" t="s">
        <v>19</v>
      </c>
      <c r="H53" s="732" t="s">
        <v>345</v>
      </c>
      <c r="I53" s="732"/>
      <c r="J53" s="732" t="s">
        <v>632</v>
      </c>
      <c r="K53" s="741">
        <v>666921</v>
      </c>
      <c r="L53" s="741">
        <v>666921</v>
      </c>
      <c r="M53" s="741">
        <v>666921</v>
      </c>
      <c r="N53" s="754"/>
    </row>
    <row r="54" spans="1:15" x14ac:dyDescent="0.25">
      <c r="A54" s="16" t="s">
        <v>31</v>
      </c>
      <c r="B54" s="12">
        <v>1510</v>
      </c>
      <c r="C54" s="12">
        <v>180</v>
      </c>
      <c r="D54" s="13" t="s">
        <v>427</v>
      </c>
      <c r="E54" s="732" t="s">
        <v>424</v>
      </c>
      <c r="F54" s="732" t="s">
        <v>98</v>
      </c>
      <c r="G54" s="13" t="s">
        <v>19</v>
      </c>
      <c r="H54" s="732" t="s">
        <v>345</v>
      </c>
      <c r="I54" s="732"/>
      <c r="J54" s="732" t="s">
        <v>632</v>
      </c>
      <c r="K54" s="741">
        <v>63591</v>
      </c>
      <c r="L54" s="741">
        <v>63591</v>
      </c>
      <c r="M54" s="741">
        <v>63591</v>
      </c>
      <c r="N54" s="754"/>
    </row>
    <row r="55" spans="1:15" ht="25.5" x14ac:dyDescent="0.25">
      <c r="A55" s="16" t="s">
        <v>32</v>
      </c>
      <c r="B55" s="12">
        <v>1520</v>
      </c>
      <c r="C55" s="12">
        <v>180</v>
      </c>
      <c r="D55" s="13"/>
      <c r="E55" s="13" t="s">
        <v>428</v>
      </c>
      <c r="F55" s="13"/>
      <c r="G55" s="13"/>
      <c r="H55" s="13"/>
      <c r="I55" s="13"/>
      <c r="J55" s="13"/>
      <c r="K55" s="64"/>
      <c r="L55" s="64"/>
      <c r="M55" s="64"/>
      <c r="N55" s="65"/>
    </row>
    <row r="56" spans="1:15" x14ac:dyDescent="0.25">
      <c r="A56" s="729" t="s">
        <v>33</v>
      </c>
      <c r="B56" s="744">
        <v>1900</v>
      </c>
      <c r="C56" s="744">
        <v>400</v>
      </c>
      <c r="D56" s="13" t="s">
        <v>79</v>
      </c>
      <c r="E56" s="13" t="s">
        <v>80</v>
      </c>
      <c r="F56" s="733" t="s">
        <v>104</v>
      </c>
      <c r="G56" s="13" t="s">
        <v>19</v>
      </c>
      <c r="H56" s="733" t="s">
        <v>590</v>
      </c>
      <c r="I56" s="733"/>
      <c r="J56" s="733"/>
      <c r="K56" s="745"/>
      <c r="L56" s="745"/>
      <c r="M56" s="745"/>
      <c r="N56" s="734"/>
    </row>
    <row r="57" spans="1:15" x14ac:dyDescent="0.25">
      <c r="A57" s="735" t="s">
        <v>23</v>
      </c>
      <c r="B57" s="736"/>
      <c r="C57" s="752"/>
      <c r="D57" s="737"/>
      <c r="E57" s="737"/>
      <c r="F57" s="737"/>
      <c r="G57" s="737"/>
      <c r="H57" s="737"/>
      <c r="I57" s="737"/>
      <c r="J57" s="737"/>
      <c r="K57" s="738"/>
      <c r="L57" s="738"/>
      <c r="M57" s="738"/>
      <c r="N57" s="739"/>
      <c r="O57" s="755"/>
    </row>
    <row r="58" spans="1:15" ht="25.5" x14ac:dyDescent="0.25">
      <c r="A58" s="16" t="s">
        <v>100</v>
      </c>
      <c r="B58" s="714">
        <v>1910</v>
      </c>
      <c r="C58" s="714">
        <v>442</v>
      </c>
      <c r="D58" s="13" t="s">
        <v>79</v>
      </c>
      <c r="E58" s="13" t="s">
        <v>80</v>
      </c>
      <c r="F58" s="732" t="s">
        <v>101</v>
      </c>
      <c r="G58" s="13" t="s">
        <v>19</v>
      </c>
      <c r="H58" s="732" t="s">
        <v>590</v>
      </c>
      <c r="I58" s="732" t="s">
        <v>772</v>
      </c>
      <c r="J58" s="732" t="s">
        <v>771</v>
      </c>
      <c r="K58" s="741"/>
      <c r="L58" s="741"/>
      <c r="M58" s="741"/>
      <c r="N58" s="742"/>
    </row>
    <row r="59" spans="1:15" ht="25.5" x14ac:dyDescent="0.25">
      <c r="A59" s="16" t="s">
        <v>103</v>
      </c>
      <c r="B59" s="12">
        <v>1920</v>
      </c>
      <c r="C59" s="12">
        <v>446</v>
      </c>
      <c r="D59" s="13" t="s">
        <v>79</v>
      </c>
      <c r="E59" s="13" t="s">
        <v>80</v>
      </c>
      <c r="F59" s="13" t="s">
        <v>102</v>
      </c>
      <c r="G59" s="13" t="s">
        <v>19</v>
      </c>
      <c r="H59" s="13" t="s">
        <v>590</v>
      </c>
      <c r="I59" s="732" t="s">
        <v>772</v>
      </c>
      <c r="J59" s="732" t="s">
        <v>771</v>
      </c>
      <c r="K59" s="64"/>
      <c r="L59" s="64"/>
      <c r="M59" s="64"/>
      <c r="N59" s="65"/>
    </row>
    <row r="60" spans="1:15" x14ac:dyDescent="0.25">
      <c r="A60" s="729" t="s">
        <v>34</v>
      </c>
      <c r="B60" s="744">
        <v>1980</v>
      </c>
      <c r="C60" s="744" t="s">
        <v>19</v>
      </c>
      <c r="D60" s="733"/>
      <c r="E60" s="733"/>
      <c r="F60" s="733"/>
      <c r="G60" s="733"/>
      <c r="H60" s="733"/>
      <c r="I60" s="733"/>
      <c r="J60" s="733"/>
      <c r="K60" s="745"/>
      <c r="L60" s="745"/>
      <c r="M60" s="745"/>
      <c r="N60" s="734"/>
    </row>
    <row r="61" spans="1:15" x14ac:dyDescent="0.25">
      <c r="A61" s="735" t="s">
        <v>35</v>
      </c>
      <c r="B61" s="746"/>
      <c r="C61" s="747"/>
      <c r="D61" s="737"/>
      <c r="E61" s="737"/>
      <c r="F61" s="737"/>
      <c r="G61" s="737"/>
      <c r="H61" s="737"/>
      <c r="I61" s="737"/>
      <c r="J61" s="737"/>
      <c r="K61" s="738"/>
      <c r="L61" s="738"/>
      <c r="M61" s="738"/>
      <c r="N61" s="756"/>
    </row>
    <row r="62" spans="1:15" ht="38.25" x14ac:dyDescent="0.25">
      <c r="A62" s="16" t="s">
        <v>36</v>
      </c>
      <c r="B62" s="757"/>
      <c r="C62" s="757">
        <v>510</v>
      </c>
      <c r="D62" s="732"/>
      <c r="E62" s="732"/>
      <c r="F62" s="732" t="s">
        <v>99</v>
      </c>
      <c r="G62" s="13" t="s">
        <v>19</v>
      </c>
      <c r="H62" s="732" t="s">
        <v>99</v>
      </c>
      <c r="I62" s="732"/>
      <c r="J62" s="732"/>
      <c r="K62" s="741"/>
      <c r="L62" s="741"/>
      <c r="M62" s="741"/>
      <c r="N62" s="757" t="s">
        <v>19</v>
      </c>
    </row>
    <row r="63" spans="1:15" x14ac:dyDescent="0.25">
      <c r="A63" s="16" t="s">
        <v>23</v>
      </c>
      <c r="B63" s="12"/>
      <c r="C63" s="12"/>
      <c r="D63" s="13"/>
      <c r="E63" s="13"/>
      <c r="F63" s="13"/>
      <c r="G63" s="13"/>
      <c r="H63" s="13"/>
      <c r="I63" s="13"/>
      <c r="J63" s="13"/>
      <c r="K63" s="64"/>
      <c r="L63" s="64"/>
      <c r="M63" s="64"/>
      <c r="N63" s="12"/>
    </row>
    <row r="64" spans="1:15" x14ac:dyDescent="0.25">
      <c r="A64" s="16"/>
      <c r="B64" s="12">
        <v>1981</v>
      </c>
      <c r="C64" s="12"/>
      <c r="D64" s="13"/>
      <c r="E64" s="13"/>
      <c r="F64" s="13"/>
      <c r="G64" s="13"/>
      <c r="H64" s="13"/>
      <c r="I64" s="13"/>
      <c r="J64" s="13"/>
      <c r="K64" s="64"/>
      <c r="L64" s="64"/>
      <c r="M64" s="64"/>
      <c r="N64" s="12"/>
    </row>
    <row r="65" spans="1:15" x14ac:dyDescent="0.25">
      <c r="A65" s="16"/>
      <c r="B65" s="12">
        <v>1982</v>
      </c>
      <c r="C65" s="12"/>
      <c r="D65" s="13"/>
      <c r="E65" s="13"/>
      <c r="F65" s="13"/>
      <c r="G65" s="13"/>
      <c r="H65" s="13"/>
      <c r="I65" s="13"/>
      <c r="J65" s="13"/>
      <c r="K65" s="64"/>
      <c r="L65" s="64"/>
      <c r="M65" s="64"/>
      <c r="N65" s="12"/>
    </row>
    <row r="66" spans="1:15" x14ac:dyDescent="0.25">
      <c r="A66" s="16"/>
      <c r="B66" s="12">
        <v>1983</v>
      </c>
      <c r="C66" s="12"/>
      <c r="D66" s="13"/>
      <c r="E66" s="13"/>
      <c r="F66" s="13"/>
      <c r="G66" s="13"/>
      <c r="H66" s="13"/>
      <c r="I66" s="13"/>
      <c r="J66" s="13"/>
      <c r="K66" s="64"/>
      <c r="L66" s="64"/>
      <c r="M66" s="64"/>
      <c r="N66" s="12"/>
    </row>
    <row r="67" spans="1:15" s="720" customFormat="1" x14ac:dyDescent="0.25">
      <c r="A67" s="758" t="s">
        <v>37</v>
      </c>
      <c r="B67" s="716">
        <v>2000</v>
      </c>
      <c r="C67" s="716" t="s">
        <v>19</v>
      </c>
      <c r="D67" s="759"/>
      <c r="E67" s="759"/>
      <c r="F67" s="759"/>
      <c r="G67" s="759"/>
      <c r="H67" s="759"/>
      <c r="I67" s="759"/>
      <c r="J67" s="759"/>
      <c r="K67" s="717">
        <f>K69+K103+K117+K135+K139+K148+K239</f>
        <v>66548430.25</v>
      </c>
      <c r="L67" s="717">
        <f>L69+L103+L117+L135+L139+L148+L234+L239</f>
        <v>63980916.090000004</v>
      </c>
      <c r="M67" s="717">
        <f>M69+M103+M117+M135+M139+M148+M234+M239</f>
        <v>64307954.810000002</v>
      </c>
      <c r="N67" s="716" t="s">
        <v>19</v>
      </c>
      <c r="O67" s="719"/>
    </row>
    <row r="68" spans="1:15" x14ac:dyDescent="0.25">
      <c r="A68" s="729" t="s">
        <v>23</v>
      </c>
      <c r="B68" s="760"/>
      <c r="C68" s="12"/>
      <c r="D68" s="13"/>
      <c r="E68" s="13"/>
      <c r="F68" s="13"/>
      <c r="G68" s="13"/>
      <c r="H68" s="13"/>
      <c r="I68" s="13"/>
      <c r="J68" s="13"/>
      <c r="K68" s="64"/>
      <c r="L68" s="64"/>
      <c r="M68" s="64"/>
      <c r="N68" s="12"/>
    </row>
    <row r="69" spans="1:15" x14ac:dyDescent="0.25">
      <c r="A69" s="729" t="s">
        <v>38</v>
      </c>
      <c r="B69" s="744">
        <v>2100</v>
      </c>
      <c r="C69" s="744" t="s">
        <v>19</v>
      </c>
      <c r="D69" s="733"/>
      <c r="E69" s="733"/>
      <c r="F69" s="733"/>
      <c r="G69" s="733"/>
      <c r="H69" s="733"/>
      <c r="I69" s="733"/>
      <c r="J69" s="733"/>
      <c r="K69" s="745">
        <f>K71+K79+K90+K91+K92+K99</f>
        <v>41383478.100000001</v>
      </c>
      <c r="L69" s="745">
        <f>L71+L79+L90+L91+L92+L99</f>
        <v>40230826.079999998</v>
      </c>
      <c r="M69" s="745">
        <f>M71+M79+M90+M91+M92+M99</f>
        <v>40230826.079999998</v>
      </c>
      <c r="N69" s="744" t="s">
        <v>19</v>
      </c>
    </row>
    <row r="70" spans="1:15" x14ac:dyDescent="0.25">
      <c r="A70" s="735" t="s">
        <v>23</v>
      </c>
      <c r="B70" s="709"/>
      <c r="C70" s="761"/>
      <c r="D70" s="761"/>
      <c r="E70" s="761"/>
      <c r="F70" s="761"/>
      <c r="G70" s="761"/>
      <c r="H70" s="761"/>
      <c r="I70" s="761"/>
      <c r="J70" s="761"/>
      <c r="K70" s="761"/>
      <c r="L70" s="761"/>
      <c r="M70" s="761"/>
      <c r="N70" s="711"/>
    </row>
    <row r="71" spans="1:15" x14ac:dyDescent="0.25">
      <c r="A71" s="16" t="s">
        <v>39</v>
      </c>
      <c r="B71" s="757">
        <v>2110</v>
      </c>
      <c r="C71" s="714">
        <v>111</v>
      </c>
      <c r="D71" s="732"/>
      <c r="E71" s="732"/>
      <c r="F71" s="732"/>
      <c r="G71" s="732"/>
      <c r="H71" s="732"/>
      <c r="I71" s="732"/>
      <c r="J71" s="732"/>
      <c r="K71" s="741">
        <f>SUM(K73:K78)</f>
        <v>31820001.649999999</v>
      </c>
      <c r="L71" s="741">
        <f>SUM(L73:L78)</f>
        <v>30934708.219999999</v>
      </c>
      <c r="M71" s="741">
        <f>SUM(M73:M78)</f>
        <v>30934708.219999999</v>
      </c>
      <c r="N71" s="762"/>
    </row>
    <row r="72" spans="1:15" x14ac:dyDescent="0.25">
      <c r="A72" s="193" t="s">
        <v>35</v>
      </c>
      <c r="B72" s="12"/>
      <c r="C72" s="12"/>
      <c r="D72" s="13"/>
      <c r="E72" s="13"/>
      <c r="F72" s="13"/>
      <c r="G72" s="13"/>
      <c r="H72" s="13"/>
      <c r="I72" s="13"/>
      <c r="J72" s="13"/>
      <c r="K72" s="64"/>
      <c r="L72" s="64"/>
      <c r="M72" s="64"/>
      <c r="N72" s="12" t="s">
        <v>19</v>
      </c>
    </row>
    <row r="73" spans="1:15" x14ac:dyDescent="0.25">
      <c r="A73" s="16" t="s">
        <v>107</v>
      </c>
      <c r="B73" s="12">
        <v>2111</v>
      </c>
      <c r="C73" s="12">
        <v>111</v>
      </c>
      <c r="D73" s="13" t="s">
        <v>592</v>
      </c>
      <c r="E73" s="13" t="s">
        <v>80</v>
      </c>
      <c r="F73" s="13" t="s">
        <v>105</v>
      </c>
      <c r="G73" s="13" t="s">
        <v>591</v>
      </c>
      <c r="H73" s="13"/>
      <c r="I73" s="13" t="s">
        <v>599</v>
      </c>
      <c r="J73" s="732" t="s">
        <v>771</v>
      </c>
      <c r="K73" s="64">
        <v>1824391.77</v>
      </c>
      <c r="L73" s="64">
        <v>1824391.77</v>
      </c>
      <c r="M73" s="64">
        <v>1824391.77</v>
      </c>
      <c r="N73" s="12"/>
    </row>
    <row r="74" spans="1:15" x14ac:dyDescent="0.25">
      <c r="A74" s="16" t="s">
        <v>107</v>
      </c>
      <c r="B74" s="12">
        <v>2111</v>
      </c>
      <c r="C74" s="12">
        <v>111</v>
      </c>
      <c r="D74" s="13" t="s">
        <v>423</v>
      </c>
      <c r="E74" s="13" t="s">
        <v>125</v>
      </c>
      <c r="F74" s="13" t="s">
        <v>105</v>
      </c>
      <c r="G74" s="13" t="s">
        <v>591</v>
      </c>
      <c r="H74" s="13"/>
      <c r="I74" s="13" t="s">
        <v>599</v>
      </c>
      <c r="J74" s="64" t="s">
        <v>601</v>
      </c>
      <c r="K74" s="717">
        <f>28437624.43+440834.1+428785.72</f>
        <v>29307244.25</v>
      </c>
      <c r="L74" s="64">
        <v>28437624.43</v>
      </c>
      <c r="M74" s="64">
        <v>28437624.43</v>
      </c>
      <c r="N74" s="12"/>
      <c r="O74" s="66" t="s">
        <v>619</v>
      </c>
    </row>
    <row r="75" spans="1:15" x14ac:dyDescent="0.25">
      <c r="A75" s="16" t="s">
        <v>107</v>
      </c>
      <c r="B75" s="12">
        <v>2111</v>
      </c>
      <c r="C75" s="12">
        <v>111</v>
      </c>
      <c r="D75" s="13" t="s">
        <v>425</v>
      </c>
      <c r="E75" s="13" t="s">
        <v>424</v>
      </c>
      <c r="F75" s="13" t="s">
        <v>105</v>
      </c>
      <c r="G75" s="13" t="s">
        <v>591</v>
      </c>
      <c r="H75" s="13"/>
      <c r="I75" s="13" t="s">
        <v>599</v>
      </c>
      <c r="J75" s="13" t="s">
        <v>601</v>
      </c>
      <c r="K75" s="64">
        <f>510692.02+15673.61</f>
        <v>526365.63</v>
      </c>
      <c r="L75" s="64">
        <v>510692.02</v>
      </c>
      <c r="M75" s="64">
        <v>510692.02</v>
      </c>
      <c r="N75" s="12"/>
    </row>
    <row r="76" spans="1:15" ht="25.5" x14ac:dyDescent="0.25">
      <c r="A76" s="16" t="s">
        <v>122</v>
      </c>
      <c r="B76" s="12">
        <v>2111</v>
      </c>
      <c r="C76" s="12">
        <v>111</v>
      </c>
      <c r="D76" s="13" t="s">
        <v>592</v>
      </c>
      <c r="E76" s="13" t="s">
        <v>80</v>
      </c>
      <c r="F76" s="13" t="s">
        <v>108</v>
      </c>
      <c r="G76" s="13" t="s">
        <v>591</v>
      </c>
      <c r="H76" s="13"/>
      <c r="I76" s="13" t="s">
        <v>599</v>
      </c>
      <c r="J76" s="732" t="s">
        <v>771</v>
      </c>
      <c r="K76" s="64">
        <v>10000</v>
      </c>
      <c r="L76" s="64">
        <v>10000</v>
      </c>
      <c r="M76" s="64">
        <v>10000</v>
      </c>
      <c r="N76" s="12"/>
    </row>
    <row r="77" spans="1:15" ht="25.5" x14ac:dyDescent="0.25">
      <c r="A77" s="16" t="s">
        <v>122</v>
      </c>
      <c r="B77" s="12">
        <v>2111</v>
      </c>
      <c r="C77" s="12">
        <v>111</v>
      </c>
      <c r="D77" s="13" t="s">
        <v>423</v>
      </c>
      <c r="E77" s="13" t="s">
        <v>125</v>
      </c>
      <c r="F77" s="13" t="s">
        <v>108</v>
      </c>
      <c r="G77" s="13" t="s">
        <v>591</v>
      </c>
      <c r="H77" s="13"/>
      <c r="I77" s="13" t="s">
        <v>599</v>
      </c>
      <c r="J77" s="13" t="s">
        <v>601</v>
      </c>
      <c r="K77" s="64">
        <v>150000</v>
      </c>
      <c r="L77" s="64">
        <v>150000</v>
      </c>
      <c r="M77" s="64">
        <v>150000</v>
      </c>
      <c r="N77" s="12"/>
    </row>
    <row r="78" spans="1:15" ht="25.5" x14ac:dyDescent="0.25">
      <c r="A78" s="16" t="s">
        <v>122</v>
      </c>
      <c r="B78" s="12">
        <v>2111</v>
      </c>
      <c r="C78" s="12">
        <v>111</v>
      </c>
      <c r="D78" s="13" t="s">
        <v>425</v>
      </c>
      <c r="E78" s="13" t="s">
        <v>424</v>
      </c>
      <c r="F78" s="13" t="s">
        <v>108</v>
      </c>
      <c r="G78" s="13" t="s">
        <v>591</v>
      </c>
      <c r="H78" s="13"/>
      <c r="I78" s="13" t="s">
        <v>599</v>
      </c>
      <c r="J78" s="13" t="s">
        <v>601</v>
      </c>
      <c r="K78" s="64">
        <v>2000</v>
      </c>
      <c r="L78" s="64">
        <v>2000</v>
      </c>
      <c r="M78" s="64">
        <v>2000</v>
      </c>
      <c r="N78" s="12"/>
    </row>
    <row r="79" spans="1:15" ht="38.25" x14ac:dyDescent="0.25">
      <c r="A79" s="16" t="s">
        <v>40</v>
      </c>
      <c r="B79" s="12">
        <v>2120</v>
      </c>
      <c r="C79" s="12">
        <v>112</v>
      </c>
      <c r="D79" s="13" t="s">
        <v>19</v>
      </c>
      <c r="E79" s="13" t="s">
        <v>19</v>
      </c>
      <c r="F79" s="13" t="s">
        <v>19</v>
      </c>
      <c r="G79" s="13" t="s">
        <v>19</v>
      </c>
      <c r="H79" s="13"/>
      <c r="I79" s="13"/>
      <c r="J79" s="13"/>
      <c r="K79" s="64">
        <f>SUM(K81:K89)</f>
        <v>2760</v>
      </c>
      <c r="L79" s="64">
        <f>SUM(L81:L89)</f>
        <v>2760</v>
      </c>
      <c r="M79" s="64">
        <f>SUM(M81:M89)</f>
        <v>2760</v>
      </c>
      <c r="N79" s="12" t="s">
        <v>19</v>
      </c>
    </row>
    <row r="80" spans="1:15" x14ac:dyDescent="0.25">
      <c r="A80" s="193" t="s">
        <v>35</v>
      </c>
      <c r="B80" s="12"/>
      <c r="C80" s="12"/>
      <c r="D80" s="13"/>
      <c r="E80" s="13"/>
      <c r="F80" s="13"/>
      <c r="G80" s="13"/>
      <c r="H80" s="13"/>
      <c r="I80" s="13"/>
      <c r="J80" s="13"/>
      <c r="K80" s="64"/>
      <c r="L80" s="64"/>
      <c r="M80" s="64"/>
      <c r="N80" s="12" t="s">
        <v>19</v>
      </c>
    </row>
    <row r="81" spans="1:15" ht="25.5" x14ac:dyDescent="0.25">
      <c r="A81" s="16" t="s">
        <v>110</v>
      </c>
      <c r="B81" s="12">
        <v>2121</v>
      </c>
      <c r="C81" s="12">
        <v>112</v>
      </c>
      <c r="D81" s="13" t="s">
        <v>592</v>
      </c>
      <c r="E81" s="13" t="s">
        <v>80</v>
      </c>
      <c r="F81" s="13" t="s">
        <v>109</v>
      </c>
      <c r="G81" s="13" t="s">
        <v>591</v>
      </c>
      <c r="H81" s="13"/>
      <c r="I81" s="13" t="s">
        <v>599</v>
      </c>
      <c r="J81" s="732" t="s">
        <v>771</v>
      </c>
      <c r="K81" s="64"/>
      <c r="L81" s="64"/>
      <c r="M81" s="64"/>
      <c r="N81" s="12"/>
      <c r="O81" s="66" t="s">
        <v>118</v>
      </c>
    </row>
    <row r="82" spans="1:15" ht="25.5" x14ac:dyDescent="0.25">
      <c r="A82" s="16" t="s">
        <v>110</v>
      </c>
      <c r="B82" s="12">
        <v>2121</v>
      </c>
      <c r="C82" s="12">
        <v>112</v>
      </c>
      <c r="D82" s="13" t="s">
        <v>423</v>
      </c>
      <c r="E82" s="13" t="s">
        <v>125</v>
      </c>
      <c r="F82" s="13" t="s">
        <v>109</v>
      </c>
      <c r="G82" s="13" t="s">
        <v>591</v>
      </c>
      <c r="H82" s="13"/>
      <c r="I82" s="13" t="s">
        <v>599</v>
      </c>
      <c r="J82" s="13" t="s">
        <v>601</v>
      </c>
      <c r="K82" s="64"/>
      <c r="L82" s="64"/>
      <c r="M82" s="64"/>
      <c r="N82" s="12"/>
    </row>
    <row r="83" spans="1:15" x14ac:dyDescent="0.25">
      <c r="A83" s="16" t="s">
        <v>112</v>
      </c>
      <c r="B83" s="12">
        <v>2122</v>
      </c>
      <c r="C83" s="12">
        <v>112</v>
      </c>
      <c r="D83" s="13" t="s">
        <v>592</v>
      </c>
      <c r="E83" s="13" t="s">
        <v>80</v>
      </c>
      <c r="F83" s="13" t="s">
        <v>111</v>
      </c>
      <c r="G83" s="13" t="s">
        <v>591</v>
      </c>
      <c r="H83" s="13"/>
      <c r="I83" s="13" t="s">
        <v>599</v>
      </c>
      <c r="J83" s="732" t="s">
        <v>771</v>
      </c>
      <c r="K83" s="64"/>
      <c r="L83" s="64"/>
      <c r="M83" s="64"/>
      <c r="N83" s="12"/>
      <c r="O83" s="66" t="s">
        <v>120</v>
      </c>
    </row>
    <row r="84" spans="1:15" x14ac:dyDescent="0.25">
      <c r="A84" s="16" t="s">
        <v>113</v>
      </c>
      <c r="B84" s="12">
        <v>2123</v>
      </c>
      <c r="C84" s="12">
        <v>112</v>
      </c>
      <c r="D84" s="13" t="s">
        <v>592</v>
      </c>
      <c r="E84" s="13" t="s">
        <v>80</v>
      </c>
      <c r="F84" s="13" t="s">
        <v>106</v>
      </c>
      <c r="G84" s="13" t="s">
        <v>591</v>
      </c>
      <c r="H84" s="13"/>
      <c r="I84" s="13" t="s">
        <v>599</v>
      </c>
      <c r="J84" s="732" t="s">
        <v>771</v>
      </c>
      <c r="K84" s="64"/>
      <c r="L84" s="64"/>
      <c r="M84" s="64"/>
      <c r="N84" s="12"/>
      <c r="O84" s="66" t="s">
        <v>119</v>
      </c>
    </row>
    <row r="85" spans="1:15" x14ac:dyDescent="0.25">
      <c r="A85" s="16" t="s">
        <v>113</v>
      </c>
      <c r="B85" s="12">
        <v>2123</v>
      </c>
      <c r="C85" s="12">
        <v>112</v>
      </c>
      <c r="D85" s="13" t="s">
        <v>423</v>
      </c>
      <c r="E85" s="13" t="s">
        <v>125</v>
      </c>
      <c r="F85" s="13" t="s">
        <v>106</v>
      </c>
      <c r="G85" s="13" t="s">
        <v>591</v>
      </c>
      <c r="H85" s="13"/>
      <c r="I85" s="13" t="s">
        <v>599</v>
      </c>
      <c r="J85" s="13" t="s">
        <v>601</v>
      </c>
      <c r="K85" s="64"/>
      <c r="L85" s="64"/>
      <c r="M85" s="64"/>
      <c r="N85" s="12"/>
    </row>
    <row r="86" spans="1:15" ht="25.5" x14ac:dyDescent="0.25">
      <c r="A86" s="16" t="s">
        <v>122</v>
      </c>
      <c r="B86" s="12">
        <v>2124</v>
      </c>
      <c r="C86" s="12">
        <v>112</v>
      </c>
      <c r="D86" s="13" t="s">
        <v>592</v>
      </c>
      <c r="E86" s="13" t="s">
        <v>80</v>
      </c>
      <c r="F86" s="13" t="s">
        <v>108</v>
      </c>
      <c r="G86" s="13" t="s">
        <v>591</v>
      </c>
      <c r="H86" s="13"/>
      <c r="I86" s="13" t="s">
        <v>599</v>
      </c>
      <c r="J86" s="732" t="s">
        <v>771</v>
      </c>
      <c r="K86" s="64"/>
      <c r="L86" s="64"/>
      <c r="M86" s="64"/>
      <c r="N86" s="12"/>
      <c r="O86" s="66" t="s">
        <v>117</v>
      </c>
    </row>
    <row r="87" spans="1:15" ht="25.5" x14ac:dyDescent="0.25">
      <c r="A87" s="16" t="s">
        <v>122</v>
      </c>
      <c r="B87" s="12">
        <v>2124</v>
      </c>
      <c r="C87" s="12">
        <v>112</v>
      </c>
      <c r="D87" s="13" t="s">
        <v>423</v>
      </c>
      <c r="E87" s="13" t="s">
        <v>125</v>
      </c>
      <c r="F87" s="13" t="s">
        <v>108</v>
      </c>
      <c r="G87" s="13" t="s">
        <v>591</v>
      </c>
      <c r="H87" s="13"/>
      <c r="I87" s="13" t="s">
        <v>599</v>
      </c>
      <c r="J87" s="13" t="s">
        <v>601</v>
      </c>
      <c r="K87" s="64">
        <v>2760</v>
      </c>
      <c r="L87" s="64">
        <v>2760</v>
      </c>
      <c r="M87" s="64">
        <v>2760</v>
      </c>
      <c r="N87" s="12"/>
    </row>
    <row r="88" spans="1:15" ht="25.5" x14ac:dyDescent="0.25">
      <c r="A88" s="16" t="s">
        <v>122</v>
      </c>
      <c r="B88" s="12">
        <v>2124</v>
      </c>
      <c r="C88" s="12">
        <v>112</v>
      </c>
      <c r="D88" s="13" t="s">
        <v>425</v>
      </c>
      <c r="E88" s="13" t="s">
        <v>424</v>
      </c>
      <c r="F88" s="13" t="s">
        <v>108</v>
      </c>
      <c r="G88" s="13" t="s">
        <v>591</v>
      </c>
      <c r="H88" s="13"/>
      <c r="I88" s="13" t="s">
        <v>604</v>
      </c>
      <c r="J88" s="13" t="s">
        <v>601</v>
      </c>
      <c r="K88" s="64"/>
      <c r="L88" s="64"/>
      <c r="M88" s="64"/>
      <c r="N88" s="12"/>
    </row>
    <row r="89" spans="1:15" ht="25.5" x14ac:dyDescent="0.25">
      <c r="A89" s="16" t="s">
        <v>115</v>
      </c>
      <c r="B89" s="12">
        <v>2125</v>
      </c>
      <c r="C89" s="12">
        <v>112</v>
      </c>
      <c r="D89" s="13" t="s">
        <v>592</v>
      </c>
      <c r="E89" s="13" t="s">
        <v>80</v>
      </c>
      <c r="F89" s="13" t="s">
        <v>114</v>
      </c>
      <c r="G89" s="13" t="s">
        <v>591</v>
      </c>
      <c r="H89" s="13"/>
      <c r="I89" s="13" t="s">
        <v>599</v>
      </c>
      <c r="J89" s="732" t="s">
        <v>771</v>
      </c>
      <c r="K89" s="64"/>
      <c r="L89" s="64"/>
      <c r="M89" s="64"/>
      <c r="N89" s="12"/>
      <c r="O89" s="66" t="s">
        <v>116</v>
      </c>
    </row>
    <row r="90" spans="1:15" ht="38.25" x14ac:dyDescent="0.25">
      <c r="A90" s="16" t="s">
        <v>41</v>
      </c>
      <c r="B90" s="12">
        <v>2130</v>
      </c>
      <c r="C90" s="12">
        <v>113</v>
      </c>
      <c r="D90" s="13" t="s">
        <v>592</v>
      </c>
      <c r="E90" s="13" t="s">
        <v>80</v>
      </c>
      <c r="F90" s="13" t="s">
        <v>106</v>
      </c>
      <c r="G90" s="13" t="s">
        <v>591</v>
      </c>
      <c r="H90" s="13"/>
      <c r="I90" s="13" t="s">
        <v>599</v>
      </c>
      <c r="J90" s="732" t="s">
        <v>771</v>
      </c>
      <c r="K90" s="64"/>
      <c r="L90" s="64"/>
      <c r="M90" s="64"/>
      <c r="N90" s="12" t="s">
        <v>19</v>
      </c>
    </row>
    <row r="91" spans="1:15" s="764" customFormat="1" ht="38.25" x14ac:dyDescent="0.25">
      <c r="A91" s="16" t="s">
        <v>41</v>
      </c>
      <c r="B91" s="12">
        <v>2130</v>
      </c>
      <c r="C91" s="12">
        <v>113</v>
      </c>
      <c r="D91" s="13" t="s">
        <v>423</v>
      </c>
      <c r="E91" s="13" t="s">
        <v>125</v>
      </c>
      <c r="F91" s="13" t="s">
        <v>106</v>
      </c>
      <c r="G91" s="13" t="s">
        <v>591</v>
      </c>
      <c r="H91" s="13"/>
      <c r="I91" s="13" t="s">
        <v>602</v>
      </c>
      <c r="J91" s="13" t="s">
        <v>603</v>
      </c>
      <c r="K91" s="64"/>
      <c r="L91" s="64"/>
      <c r="M91" s="64"/>
      <c r="N91" s="12" t="s">
        <v>19</v>
      </c>
      <c r="O91" s="763" t="s">
        <v>433</v>
      </c>
    </row>
    <row r="92" spans="1:15" ht="63.75" x14ac:dyDescent="0.25">
      <c r="A92" s="16" t="s">
        <v>42</v>
      </c>
      <c r="B92" s="744">
        <v>2140</v>
      </c>
      <c r="C92" s="744">
        <v>119</v>
      </c>
      <c r="D92" s="733" t="s">
        <v>19</v>
      </c>
      <c r="E92" s="733" t="s">
        <v>19</v>
      </c>
      <c r="F92" s="733" t="s">
        <v>19</v>
      </c>
      <c r="G92" s="733" t="s">
        <v>19</v>
      </c>
      <c r="H92" s="733"/>
      <c r="I92" s="733"/>
      <c r="J92" s="733"/>
      <c r="K92" s="745">
        <f>SUM(K94:K98)</f>
        <v>9560716.4500000011</v>
      </c>
      <c r="L92" s="745">
        <f>SUM(L94:L98)</f>
        <v>9293357.8600000013</v>
      </c>
      <c r="M92" s="745">
        <f>SUM(M94:M98)</f>
        <v>9293357.8600000013</v>
      </c>
      <c r="N92" s="744" t="s">
        <v>19</v>
      </c>
    </row>
    <row r="93" spans="1:15" x14ac:dyDescent="0.25">
      <c r="A93" s="751" t="s">
        <v>23</v>
      </c>
      <c r="B93" s="746"/>
      <c r="C93" s="747"/>
      <c r="D93" s="737"/>
      <c r="E93" s="737"/>
      <c r="F93" s="737"/>
      <c r="G93" s="737"/>
      <c r="H93" s="737"/>
      <c r="I93" s="737"/>
      <c r="J93" s="737"/>
      <c r="K93" s="738"/>
      <c r="L93" s="738"/>
      <c r="M93" s="738"/>
      <c r="N93" s="765"/>
    </row>
    <row r="94" spans="1:15" x14ac:dyDescent="0.25">
      <c r="A94" s="766" t="s">
        <v>43</v>
      </c>
      <c r="B94" s="744">
        <v>2141</v>
      </c>
      <c r="C94" s="744">
        <v>119</v>
      </c>
      <c r="D94" s="13" t="s">
        <v>592</v>
      </c>
      <c r="E94" s="767" t="s">
        <v>80</v>
      </c>
      <c r="F94" s="767" t="s">
        <v>121</v>
      </c>
      <c r="G94" s="13" t="s">
        <v>591</v>
      </c>
      <c r="H94" s="13"/>
      <c r="I94" s="13" t="s">
        <v>599</v>
      </c>
      <c r="J94" s="732" t="s">
        <v>771</v>
      </c>
      <c r="K94" s="64">
        <v>550966.31000000006</v>
      </c>
      <c r="L94" s="64">
        <v>550966.31000000006</v>
      </c>
      <c r="M94" s="64">
        <v>550966.31000000006</v>
      </c>
      <c r="N94" s="744" t="s">
        <v>19</v>
      </c>
    </row>
    <row r="95" spans="1:15" s="764" customFormat="1" x14ac:dyDescent="0.25">
      <c r="A95" s="193" t="s">
        <v>43</v>
      </c>
      <c r="B95" s="12">
        <v>2141</v>
      </c>
      <c r="C95" s="12">
        <v>119</v>
      </c>
      <c r="D95" s="13" t="s">
        <v>423</v>
      </c>
      <c r="E95" s="13" t="s">
        <v>125</v>
      </c>
      <c r="F95" s="13" t="s">
        <v>121</v>
      </c>
      <c r="G95" s="13" t="s">
        <v>591</v>
      </c>
      <c r="H95" s="13"/>
      <c r="I95" s="13" t="s">
        <v>599</v>
      </c>
      <c r="J95" s="13" t="s">
        <v>601</v>
      </c>
      <c r="K95" s="717">
        <f>8588162.57+133131.89+129493.28</f>
        <v>8850787.7400000002</v>
      </c>
      <c r="L95" s="64">
        <v>8588162.5700000003</v>
      </c>
      <c r="M95" s="64">
        <v>8588162.5700000003</v>
      </c>
      <c r="N95" s="12" t="s">
        <v>19</v>
      </c>
      <c r="O95" s="763" t="s">
        <v>620</v>
      </c>
    </row>
    <row r="96" spans="1:15" x14ac:dyDescent="0.25">
      <c r="A96" s="193" t="s">
        <v>43</v>
      </c>
      <c r="B96" s="12">
        <v>2111</v>
      </c>
      <c r="C96" s="12">
        <v>119</v>
      </c>
      <c r="D96" s="13" t="s">
        <v>425</v>
      </c>
      <c r="E96" s="13" t="s">
        <v>424</v>
      </c>
      <c r="F96" s="13" t="s">
        <v>121</v>
      </c>
      <c r="G96" s="13" t="s">
        <v>591</v>
      </c>
      <c r="H96" s="13"/>
      <c r="I96" s="13" t="s">
        <v>599</v>
      </c>
      <c r="J96" s="13" t="s">
        <v>601</v>
      </c>
      <c r="K96" s="64">
        <f>154228.98+4733.42</f>
        <v>158962.40000000002</v>
      </c>
      <c r="L96" s="64">
        <v>154228.98000000001</v>
      </c>
      <c r="M96" s="64">
        <v>154228.98000000001</v>
      </c>
      <c r="N96" s="12" t="s">
        <v>19</v>
      </c>
    </row>
    <row r="97" spans="1:14" ht="35.25" customHeight="1" x14ac:dyDescent="0.25">
      <c r="A97" s="768" t="s">
        <v>122</v>
      </c>
      <c r="B97" s="714">
        <v>2142</v>
      </c>
      <c r="C97" s="714">
        <v>119</v>
      </c>
      <c r="D97" s="13" t="s">
        <v>592</v>
      </c>
      <c r="E97" s="732" t="s">
        <v>80</v>
      </c>
      <c r="F97" s="732" t="s">
        <v>108</v>
      </c>
      <c r="G97" s="13" t="s">
        <v>591</v>
      </c>
      <c r="H97" s="732"/>
      <c r="I97" s="732"/>
      <c r="J97" s="732"/>
      <c r="K97" s="741"/>
      <c r="L97" s="741"/>
      <c r="M97" s="741"/>
      <c r="N97" s="714" t="s">
        <v>19</v>
      </c>
    </row>
    <row r="98" spans="1:14" x14ac:dyDescent="0.25">
      <c r="A98" s="193" t="s">
        <v>44</v>
      </c>
      <c r="B98" s="12">
        <v>2143</v>
      </c>
      <c r="C98" s="12">
        <v>119</v>
      </c>
      <c r="D98" s="13"/>
      <c r="E98" s="13"/>
      <c r="F98" s="13"/>
      <c r="G98" s="13"/>
      <c r="H98" s="13"/>
      <c r="I98" s="13"/>
      <c r="J98" s="13"/>
      <c r="K98" s="64"/>
      <c r="L98" s="64"/>
      <c r="M98" s="64"/>
      <c r="N98" s="12" t="s">
        <v>19</v>
      </c>
    </row>
    <row r="99" spans="1:14" ht="51" x14ac:dyDescent="0.25">
      <c r="A99" s="16" t="s">
        <v>45</v>
      </c>
      <c r="B99" s="12">
        <v>2170</v>
      </c>
      <c r="C99" s="12">
        <v>139</v>
      </c>
      <c r="D99" s="13"/>
      <c r="E99" s="13"/>
      <c r="F99" s="13"/>
      <c r="G99" s="13"/>
      <c r="H99" s="13"/>
      <c r="I99" s="13"/>
      <c r="J99" s="13"/>
      <c r="K99" s="64">
        <f>K101+K102</f>
        <v>0</v>
      </c>
      <c r="L99" s="64">
        <f t="shared" ref="L99:M99" si="1">L101+L102</f>
        <v>0</v>
      </c>
      <c r="M99" s="64">
        <f t="shared" si="1"/>
        <v>0</v>
      </c>
      <c r="N99" s="12" t="s">
        <v>19</v>
      </c>
    </row>
    <row r="100" spans="1:14" x14ac:dyDescent="0.25">
      <c r="A100" s="193" t="s">
        <v>23</v>
      </c>
      <c r="B100" s="709"/>
      <c r="C100" s="761"/>
      <c r="D100" s="761"/>
      <c r="E100" s="761"/>
      <c r="F100" s="761"/>
      <c r="G100" s="761"/>
      <c r="H100" s="761"/>
      <c r="I100" s="761"/>
      <c r="J100" s="761"/>
      <c r="K100" s="761"/>
      <c r="L100" s="761"/>
      <c r="M100" s="761"/>
      <c r="N100" s="711"/>
    </row>
    <row r="101" spans="1:14" x14ac:dyDescent="0.25">
      <c r="A101" s="193" t="s">
        <v>46</v>
      </c>
      <c r="B101" s="12">
        <v>2171</v>
      </c>
      <c r="C101" s="12">
        <v>139</v>
      </c>
      <c r="D101" s="13"/>
      <c r="E101" s="13"/>
      <c r="F101" s="13"/>
      <c r="G101" s="13"/>
      <c r="H101" s="13"/>
      <c r="I101" s="13"/>
      <c r="J101" s="13"/>
      <c r="K101" s="64"/>
      <c r="L101" s="64"/>
      <c r="M101" s="64"/>
      <c r="N101" s="12" t="s">
        <v>19</v>
      </c>
    </row>
    <row r="102" spans="1:14" ht="25.5" x14ac:dyDescent="0.25">
      <c r="A102" s="193" t="s">
        <v>47</v>
      </c>
      <c r="B102" s="12">
        <v>2172</v>
      </c>
      <c r="C102" s="12">
        <v>139</v>
      </c>
      <c r="D102" s="13"/>
      <c r="E102" s="13"/>
      <c r="F102" s="13"/>
      <c r="G102" s="13"/>
      <c r="H102" s="13"/>
      <c r="I102" s="13"/>
      <c r="J102" s="13"/>
      <c r="K102" s="64"/>
      <c r="L102" s="64"/>
      <c r="M102" s="64"/>
      <c r="N102" s="12" t="s">
        <v>19</v>
      </c>
    </row>
    <row r="103" spans="1:14" ht="25.5" x14ac:dyDescent="0.25">
      <c r="A103" s="729" t="s">
        <v>48</v>
      </c>
      <c r="B103" s="12">
        <v>2200</v>
      </c>
      <c r="C103" s="12">
        <v>300</v>
      </c>
      <c r="D103" s="13"/>
      <c r="E103" s="13"/>
      <c r="F103" s="13"/>
      <c r="G103" s="13"/>
      <c r="H103" s="13"/>
      <c r="I103" s="13"/>
      <c r="J103" s="13"/>
      <c r="K103" s="64">
        <f>K105+K114+K115+K116</f>
        <v>79488.75</v>
      </c>
      <c r="L103" s="64">
        <f>L105+L114+L115+L116</f>
        <v>63591</v>
      </c>
      <c r="M103" s="64">
        <f>M105+M114+M115+M116</f>
        <v>63591</v>
      </c>
      <c r="N103" s="12" t="s">
        <v>19</v>
      </c>
    </row>
    <row r="104" spans="1:14" x14ac:dyDescent="0.25">
      <c r="A104" s="16" t="s">
        <v>23</v>
      </c>
      <c r="B104" s="709"/>
      <c r="C104" s="761"/>
      <c r="D104" s="761"/>
      <c r="E104" s="761"/>
      <c r="F104" s="761"/>
      <c r="G104" s="761"/>
      <c r="H104" s="761"/>
      <c r="I104" s="761"/>
      <c r="J104" s="761"/>
      <c r="K104" s="761"/>
      <c r="L104" s="761"/>
      <c r="M104" s="761"/>
      <c r="N104" s="711"/>
    </row>
    <row r="105" spans="1:14" ht="38.25" x14ac:dyDescent="0.25">
      <c r="A105" s="16" t="s">
        <v>49</v>
      </c>
      <c r="B105" s="12">
        <v>2210</v>
      </c>
      <c r="C105" s="12">
        <v>320</v>
      </c>
      <c r="D105" s="13"/>
      <c r="E105" s="13"/>
      <c r="F105" s="13"/>
      <c r="G105" s="13"/>
      <c r="H105" s="13"/>
      <c r="I105" s="13"/>
      <c r="J105" s="13"/>
      <c r="K105" s="64">
        <f>SUM(K107:K113)</f>
        <v>79488.75</v>
      </c>
      <c r="L105" s="64">
        <f>SUM(L107:L113)</f>
        <v>63591</v>
      </c>
      <c r="M105" s="64">
        <f>SUM(M107:M113)</f>
        <v>63591</v>
      </c>
      <c r="N105" s="12" t="s">
        <v>19</v>
      </c>
    </row>
    <row r="106" spans="1:14" x14ac:dyDescent="0.25">
      <c r="A106" s="193" t="s">
        <v>35</v>
      </c>
      <c r="B106" s="721"/>
      <c r="C106" s="721"/>
      <c r="D106" s="721"/>
      <c r="E106" s="721"/>
      <c r="F106" s="721"/>
      <c r="G106" s="721"/>
      <c r="H106" s="721"/>
      <c r="I106" s="721"/>
      <c r="J106" s="721"/>
      <c r="K106" s="12"/>
      <c r="L106" s="12"/>
      <c r="M106" s="12"/>
      <c r="N106" s="721"/>
    </row>
    <row r="107" spans="1:14" ht="51" x14ac:dyDescent="0.25">
      <c r="A107" s="193" t="s">
        <v>50</v>
      </c>
      <c r="B107" s="12">
        <v>2211</v>
      </c>
      <c r="C107" s="12">
        <v>321</v>
      </c>
      <c r="D107" s="13"/>
      <c r="E107" s="13"/>
      <c r="F107" s="13"/>
      <c r="G107" s="13"/>
      <c r="H107" s="13"/>
      <c r="I107" s="13"/>
      <c r="J107" s="13"/>
      <c r="K107" s="64"/>
      <c r="L107" s="64"/>
      <c r="M107" s="64"/>
      <c r="N107" s="714" t="s">
        <v>19</v>
      </c>
    </row>
    <row r="108" spans="1:14" ht="29.25" customHeight="1" x14ac:dyDescent="0.25">
      <c r="A108" s="193" t="s">
        <v>139</v>
      </c>
      <c r="B108" s="12">
        <v>2212</v>
      </c>
      <c r="C108" s="12">
        <v>321</v>
      </c>
      <c r="D108" s="13" t="s">
        <v>592</v>
      </c>
      <c r="E108" s="13" t="s">
        <v>80</v>
      </c>
      <c r="F108" s="13" t="s">
        <v>138</v>
      </c>
      <c r="G108" s="13" t="s">
        <v>591</v>
      </c>
      <c r="H108" s="13"/>
      <c r="I108" s="13" t="s">
        <v>599</v>
      </c>
      <c r="J108" s="732" t="s">
        <v>771</v>
      </c>
      <c r="K108" s="64">
        <v>15897.75</v>
      </c>
      <c r="L108" s="64"/>
      <c r="M108" s="64"/>
      <c r="N108" s="714"/>
    </row>
    <row r="109" spans="1:14" ht="29.25" customHeight="1" x14ac:dyDescent="0.25">
      <c r="A109" s="193" t="s">
        <v>139</v>
      </c>
      <c r="B109" s="12">
        <v>2212</v>
      </c>
      <c r="C109" s="12">
        <v>321</v>
      </c>
      <c r="D109" s="13" t="s">
        <v>423</v>
      </c>
      <c r="E109" s="13" t="s">
        <v>125</v>
      </c>
      <c r="F109" s="13" t="s">
        <v>138</v>
      </c>
      <c r="G109" s="13" t="s">
        <v>591</v>
      </c>
      <c r="H109" s="13"/>
      <c r="I109" s="13" t="s">
        <v>599</v>
      </c>
      <c r="J109" s="13" t="s">
        <v>601</v>
      </c>
      <c r="K109" s="64"/>
      <c r="L109" s="64"/>
      <c r="M109" s="64"/>
      <c r="N109" s="714" t="s">
        <v>19</v>
      </c>
    </row>
    <row r="110" spans="1:14" ht="29.25" customHeight="1" x14ac:dyDescent="0.25">
      <c r="A110" s="193" t="s">
        <v>139</v>
      </c>
      <c r="B110" s="12">
        <v>2212</v>
      </c>
      <c r="C110" s="12">
        <v>321</v>
      </c>
      <c r="D110" s="13" t="s">
        <v>427</v>
      </c>
      <c r="E110" s="13" t="s">
        <v>424</v>
      </c>
      <c r="F110" s="13" t="s">
        <v>138</v>
      </c>
      <c r="G110" s="13" t="s">
        <v>591</v>
      </c>
      <c r="H110" s="13"/>
      <c r="I110" s="13" t="s">
        <v>599</v>
      </c>
      <c r="J110" s="13" t="s">
        <v>601</v>
      </c>
      <c r="K110" s="64">
        <v>63591</v>
      </c>
      <c r="L110" s="64">
        <v>63591</v>
      </c>
      <c r="M110" s="64">
        <v>63591</v>
      </c>
      <c r="N110" s="714" t="s">
        <v>19</v>
      </c>
    </row>
    <row r="111" spans="1:14" ht="38.25" x14ac:dyDescent="0.25">
      <c r="A111" s="193" t="s">
        <v>140</v>
      </c>
      <c r="B111" s="12">
        <v>2213</v>
      </c>
      <c r="C111" s="12">
        <v>321</v>
      </c>
      <c r="D111" s="13" t="s">
        <v>592</v>
      </c>
      <c r="E111" s="13" t="s">
        <v>80</v>
      </c>
      <c r="F111" s="13" t="s">
        <v>137</v>
      </c>
      <c r="G111" s="13" t="s">
        <v>591</v>
      </c>
      <c r="H111" s="13"/>
      <c r="I111" s="13" t="s">
        <v>599</v>
      </c>
      <c r="J111" s="732" t="s">
        <v>771</v>
      </c>
      <c r="K111" s="64"/>
      <c r="L111" s="64"/>
      <c r="M111" s="64"/>
      <c r="N111" s="714"/>
    </row>
    <row r="112" spans="1:14" ht="38.25" x14ac:dyDescent="0.25">
      <c r="A112" s="193" t="s">
        <v>140</v>
      </c>
      <c r="B112" s="12">
        <v>2213</v>
      </c>
      <c r="C112" s="12">
        <v>321</v>
      </c>
      <c r="D112" s="13" t="s">
        <v>423</v>
      </c>
      <c r="E112" s="13" t="s">
        <v>125</v>
      </c>
      <c r="F112" s="13" t="s">
        <v>137</v>
      </c>
      <c r="G112" s="13" t="s">
        <v>591</v>
      </c>
      <c r="H112" s="13"/>
      <c r="I112" s="13" t="s">
        <v>599</v>
      </c>
      <c r="J112" s="13" t="s">
        <v>601</v>
      </c>
      <c r="K112" s="64"/>
      <c r="L112" s="64"/>
      <c r="M112" s="64"/>
      <c r="N112" s="714" t="s">
        <v>19</v>
      </c>
    </row>
    <row r="113" spans="1:14" ht="27.75" customHeight="1" x14ac:dyDescent="0.25">
      <c r="A113" s="193" t="s">
        <v>136</v>
      </c>
      <c r="B113" s="12">
        <v>2214</v>
      </c>
      <c r="C113" s="12">
        <v>321</v>
      </c>
      <c r="D113" s="13" t="s">
        <v>592</v>
      </c>
      <c r="E113" s="13" t="s">
        <v>80</v>
      </c>
      <c r="F113" s="13" t="s">
        <v>135</v>
      </c>
      <c r="G113" s="13" t="s">
        <v>591</v>
      </c>
      <c r="H113" s="13"/>
      <c r="I113" s="13" t="s">
        <v>599</v>
      </c>
      <c r="J113" s="732" t="s">
        <v>771</v>
      </c>
      <c r="K113" s="64"/>
      <c r="L113" s="64"/>
      <c r="M113" s="64"/>
      <c r="N113" s="714" t="s">
        <v>19</v>
      </c>
    </row>
    <row r="114" spans="1:14" ht="60" customHeight="1" x14ac:dyDescent="0.25">
      <c r="A114" s="16" t="s">
        <v>51</v>
      </c>
      <c r="B114" s="12">
        <v>2220</v>
      </c>
      <c r="C114" s="12">
        <v>340</v>
      </c>
      <c r="D114" s="13"/>
      <c r="E114" s="13"/>
      <c r="F114" s="13"/>
      <c r="G114" s="13"/>
      <c r="H114" s="13"/>
      <c r="I114" s="13"/>
      <c r="J114" s="13"/>
      <c r="K114" s="64"/>
      <c r="L114" s="64"/>
      <c r="M114" s="64"/>
      <c r="N114" s="12" t="s">
        <v>19</v>
      </c>
    </row>
    <row r="115" spans="1:14" ht="76.5" x14ac:dyDescent="0.25">
      <c r="A115" s="16" t="s">
        <v>52</v>
      </c>
      <c r="B115" s="12">
        <v>2230</v>
      </c>
      <c r="C115" s="12">
        <v>350</v>
      </c>
      <c r="D115" s="13"/>
      <c r="E115" s="13"/>
      <c r="F115" s="13"/>
      <c r="G115" s="13"/>
      <c r="H115" s="13"/>
      <c r="I115" s="13"/>
      <c r="J115" s="13"/>
      <c r="K115" s="64"/>
      <c r="L115" s="64"/>
      <c r="M115" s="64"/>
      <c r="N115" s="12" t="s">
        <v>19</v>
      </c>
    </row>
    <row r="116" spans="1:14" ht="38.25" x14ac:dyDescent="0.25">
      <c r="A116" s="16" t="s">
        <v>53</v>
      </c>
      <c r="B116" s="12">
        <v>2240</v>
      </c>
      <c r="C116" s="12">
        <v>360</v>
      </c>
      <c r="D116" s="13"/>
      <c r="E116" s="13"/>
      <c r="F116" s="13"/>
      <c r="G116" s="13"/>
      <c r="H116" s="13"/>
      <c r="I116" s="13"/>
      <c r="J116" s="13"/>
      <c r="K116" s="64"/>
      <c r="L116" s="64"/>
      <c r="M116" s="64"/>
      <c r="N116" s="12" t="s">
        <v>19</v>
      </c>
    </row>
    <row r="117" spans="1:14" ht="25.5" x14ac:dyDescent="0.25">
      <c r="A117" s="729" t="s">
        <v>54</v>
      </c>
      <c r="B117" s="12">
        <v>2300</v>
      </c>
      <c r="C117" s="12">
        <v>850</v>
      </c>
      <c r="D117" s="13"/>
      <c r="E117" s="13"/>
      <c r="F117" s="13"/>
      <c r="G117" s="13"/>
      <c r="H117" s="13"/>
      <c r="I117" s="13"/>
      <c r="J117" s="13"/>
      <c r="K117" s="64">
        <f>K119+K123+K127</f>
        <v>1169736.57</v>
      </c>
      <c r="L117" s="64">
        <f t="shared" ref="L117:M117" si="2">L119+L123+L127</f>
        <v>1169734.57</v>
      </c>
      <c r="M117" s="64">
        <f t="shared" si="2"/>
        <v>1169734.57</v>
      </c>
      <c r="N117" s="12" t="s">
        <v>19</v>
      </c>
    </row>
    <row r="118" spans="1:14" x14ac:dyDescent="0.25">
      <c r="A118" s="16" t="s">
        <v>35</v>
      </c>
      <c r="B118" s="709"/>
      <c r="C118" s="761"/>
      <c r="D118" s="761"/>
      <c r="E118" s="761"/>
      <c r="F118" s="761"/>
      <c r="G118" s="761"/>
      <c r="H118" s="761"/>
      <c r="I118" s="761"/>
      <c r="J118" s="761"/>
      <c r="K118" s="761"/>
      <c r="L118" s="761"/>
      <c r="M118" s="761"/>
      <c r="N118" s="711"/>
    </row>
    <row r="119" spans="1:14" ht="25.5" x14ac:dyDescent="0.25">
      <c r="A119" s="16" t="s">
        <v>55</v>
      </c>
      <c r="B119" s="757">
        <v>2310</v>
      </c>
      <c r="C119" s="757">
        <v>851</v>
      </c>
      <c r="D119" s="732"/>
      <c r="E119" s="732"/>
      <c r="F119" s="732"/>
      <c r="G119" s="732"/>
      <c r="H119" s="732"/>
      <c r="I119" s="732"/>
      <c r="J119" s="732"/>
      <c r="K119" s="741">
        <f>SUM(K121:K122)</f>
        <v>1169736.57</v>
      </c>
      <c r="L119" s="741">
        <f>SUM(L121:L122)</f>
        <v>1169734.57</v>
      </c>
      <c r="M119" s="741">
        <f>SUM(M121:M122)</f>
        <v>1169734.57</v>
      </c>
      <c r="N119" s="714" t="s">
        <v>19</v>
      </c>
    </row>
    <row r="120" spans="1:14" x14ac:dyDescent="0.25">
      <c r="A120" s="193" t="s">
        <v>35</v>
      </c>
      <c r="B120" s="12"/>
      <c r="C120" s="12"/>
      <c r="D120" s="13"/>
      <c r="E120" s="13"/>
      <c r="F120" s="13"/>
      <c r="G120" s="13"/>
      <c r="H120" s="13"/>
      <c r="I120" s="13"/>
      <c r="J120" s="13"/>
      <c r="K120" s="64"/>
      <c r="L120" s="64"/>
      <c r="M120" s="64"/>
      <c r="N120" s="12"/>
    </row>
    <row r="121" spans="1:14" ht="30" customHeight="1" x14ac:dyDescent="0.25">
      <c r="A121" s="193" t="s">
        <v>123</v>
      </c>
      <c r="B121" s="12">
        <v>2311</v>
      </c>
      <c r="C121" s="12">
        <v>851</v>
      </c>
      <c r="D121" s="13" t="s">
        <v>592</v>
      </c>
      <c r="E121" s="13" t="s">
        <v>80</v>
      </c>
      <c r="F121" s="13" t="s">
        <v>124</v>
      </c>
      <c r="G121" s="13" t="s">
        <v>591</v>
      </c>
      <c r="H121" s="13"/>
      <c r="I121" s="13" t="s">
        <v>599</v>
      </c>
      <c r="J121" s="732" t="s">
        <v>771</v>
      </c>
      <c r="K121" s="64">
        <v>222249.57</v>
      </c>
      <c r="L121" s="64">
        <v>222249.57</v>
      </c>
      <c r="M121" s="64">
        <v>222249.57</v>
      </c>
      <c r="N121" s="12" t="s">
        <v>19</v>
      </c>
    </row>
    <row r="122" spans="1:14" ht="30" customHeight="1" x14ac:dyDescent="0.25">
      <c r="A122" s="193" t="s">
        <v>123</v>
      </c>
      <c r="B122" s="12">
        <v>2311</v>
      </c>
      <c r="C122" s="12">
        <v>851</v>
      </c>
      <c r="D122" s="13" t="s">
        <v>423</v>
      </c>
      <c r="E122" s="13" t="s">
        <v>125</v>
      </c>
      <c r="F122" s="13" t="s">
        <v>124</v>
      </c>
      <c r="G122" s="13" t="s">
        <v>591</v>
      </c>
      <c r="H122" s="13"/>
      <c r="I122" s="13" t="s">
        <v>599</v>
      </c>
      <c r="J122" s="13" t="s">
        <v>606</v>
      </c>
      <c r="K122" s="717">
        <f>947485+59330-59328</f>
        <v>947487</v>
      </c>
      <c r="L122" s="64">
        <v>947485</v>
      </c>
      <c r="M122" s="64">
        <v>947485</v>
      </c>
      <c r="N122" s="12" t="s">
        <v>19</v>
      </c>
    </row>
    <row r="123" spans="1:14" ht="51" x14ac:dyDescent="0.25">
      <c r="A123" s="16" t="s">
        <v>56</v>
      </c>
      <c r="B123" s="12">
        <v>2320</v>
      </c>
      <c r="C123" s="12">
        <v>852</v>
      </c>
      <c r="D123" s="13"/>
      <c r="E123" s="13"/>
      <c r="F123" s="13"/>
      <c r="G123" s="13"/>
      <c r="H123" s="13"/>
      <c r="I123" s="13"/>
      <c r="J123" s="13"/>
      <c r="K123" s="64">
        <f>SUM(K125:K126)</f>
        <v>0</v>
      </c>
      <c r="L123" s="64">
        <f>SUM(L125:L126)</f>
        <v>0</v>
      </c>
      <c r="M123" s="64">
        <f>SUM(M125:M126)</f>
        <v>0</v>
      </c>
      <c r="N123" s="12" t="s">
        <v>19</v>
      </c>
    </row>
    <row r="124" spans="1:14" x14ac:dyDescent="0.25">
      <c r="A124" s="193" t="s">
        <v>35</v>
      </c>
      <c r="B124" s="12"/>
      <c r="C124" s="12"/>
      <c r="D124" s="13"/>
      <c r="E124" s="13"/>
      <c r="F124" s="13"/>
      <c r="G124" s="13"/>
      <c r="H124" s="13"/>
      <c r="I124" s="13"/>
      <c r="J124" s="13"/>
      <c r="K124" s="64"/>
      <c r="L124" s="64"/>
      <c r="M124" s="64"/>
      <c r="N124" s="12"/>
    </row>
    <row r="125" spans="1:14" x14ac:dyDescent="0.25">
      <c r="A125" s="193" t="s">
        <v>126</v>
      </c>
      <c r="B125" s="12">
        <v>2321</v>
      </c>
      <c r="C125" s="12">
        <v>852</v>
      </c>
      <c r="D125" s="13"/>
      <c r="E125" s="13" t="s">
        <v>80</v>
      </c>
      <c r="F125" s="13" t="s">
        <v>124</v>
      </c>
      <c r="G125" s="13" t="s">
        <v>591</v>
      </c>
      <c r="H125" s="13"/>
      <c r="I125" s="13" t="s">
        <v>599</v>
      </c>
      <c r="J125" s="732" t="s">
        <v>771</v>
      </c>
      <c r="K125" s="64"/>
      <c r="L125" s="64"/>
      <c r="M125" s="64"/>
      <c r="N125" s="12"/>
    </row>
    <row r="126" spans="1:14" x14ac:dyDescent="0.25">
      <c r="A126" s="193" t="s">
        <v>126</v>
      </c>
      <c r="B126" s="12">
        <v>2321</v>
      </c>
      <c r="C126" s="12">
        <v>852</v>
      </c>
      <c r="D126" s="13" t="s">
        <v>423</v>
      </c>
      <c r="E126" s="13" t="s">
        <v>125</v>
      </c>
      <c r="F126" s="13" t="s">
        <v>124</v>
      </c>
      <c r="G126" s="13" t="s">
        <v>591</v>
      </c>
      <c r="H126" s="13"/>
      <c r="I126" s="13" t="s">
        <v>599</v>
      </c>
      <c r="J126" s="13" t="s">
        <v>606</v>
      </c>
      <c r="K126" s="64"/>
      <c r="L126" s="64"/>
      <c r="M126" s="64"/>
      <c r="N126" s="12" t="s">
        <v>19</v>
      </c>
    </row>
    <row r="127" spans="1:14" ht="38.25" x14ac:dyDescent="0.25">
      <c r="A127" s="16" t="s">
        <v>57</v>
      </c>
      <c r="B127" s="12">
        <v>2330</v>
      </c>
      <c r="C127" s="12">
        <v>853</v>
      </c>
      <c r="D127" s="13"/>
      <c r="E127" s="13"/>
      <c r="F127" s="13"/>
      <c r="G127" s="13"/>
      <c r="H127" s="13"/>
      <c r="I127" s="13"/>
      <c r="J127" s="13"/>
      <c r="K127" s="64">
        <f>SUM(K129:K134)</f>
        <v>0</v>
      </c>
      <c r="L127" s="64">
        <f>SUM(L129:L134)</f>
        <v>0</v>
      </c>
      <c r="M127" s="64">
        <f>SUM(M129:M134)</f>
        <v>0</v>
      </c>
      <c r="N127" s="12" t="s">
        <v>19</v>
      </c>
    </row>
    <row r="128" spans="1:14" x14ac:dyDescent="0.25">
      <c r="A128" s="193" t="s">
        <v>35</v>
      </c>
      <c r="B128" s="12"/>
      <c r="C128" s="12"/>
      <c r="D128" s="13"/>
      <c r="E128" s="13"/>
      <c r="F128" s="13"/>
      <c r="G128" s="13"/>
      <c r="H128" s="13"/>
      <c r="I128" s="13"/>
      <c r="J128" s="13"/>
      <c r="K128" s="64"/>
      <c r="L128" s="64"/>
      <c r="M128" s="64"/>
      <c r="N128" s="12"/>
    </row>
    <row r="129" spans="1:17" x14ac:dyDescent="0.25">
      <c r="A129" s="193" t="s">
        <v>126</v>
      </c>
      <c r="B129" s="12">
        <v>2331</v>
      </c>
      <c r="C129" s="12">
        <v>853</v>
      </c>
      <c r="D129" s="13" t="s">
        <v>592</v>
      </c>
      <c r="E129" s="13" t="s">
        <v>80</v>
      </c>
      <c r="F129" s="13" t="s">
        <v>124</v>
      </c>
      <c r="G129" s="13" t="s">
        <v>591</v>
      </c>
      <c r="H129" s="13"/>
      <c r="I129" s="13" t="s">
        <v>599</v>
      </c>
      <c r="J129" s="732" t="s">
        <v>771</v>
      </c>
      <c r="K129" s="64"/>
      <c r="L129" s="64"/>
      <c r="M129" s="64"/>
      <c r="N129" s="12" t="s">
        <v>19</v>
      </c>
    </row>
    <row r="130" spans="1:17" x14ac:dyDescent="0.25">
      <c r="A130" s="193" t="s">
        <v>126</v>
      </c>
      <c r="B130" s="12">
        <v>2331</v>
      </c>
      <c r="C130" s="12">
        <v>853</v>
      </c>
      <c r="D130" s="13" t="s">
        <v>423</v>
      </c>
      <c r="E130" s="13" t="s">
        <v>125</v>
      </c>
      <c r="F130" s="13" t="s">
        <v>124</v>
      </c>
      <c r="G130" s="13" t="s">
        <v>591</v>
      </c>
      <c r="H130" s="13"/>
      <c r="I130" s="13" t="s">
        <v>599</v>
      </c>
      <c r="J130" s="13" t="s">
        <v>606</v>
      </c>
      <c r="K130" s="64"/>
      <c r="L130" s="64"/>
      <c r="M130" s="64"/>
      <c r="N130" s="12" t="s">
        <v>19</v>
      </c>
    </row>
    <row r="131" spans="1:17" ht="54.75" customHeight="1" x14ac:dyDescent="0.25">
      <c r="A131" s="193" t="s">
        <v>127</v>
      </c>
      <c r="B131" s="12">
        <v>2332</v>
      </c>
      <c r="C131" s="12">
        <v>853</v>
      </c>
      <c r="D131" s="13" t="s">
        <v>592</v>
      </c>
      <c r="E131" s="13" t="s">
        <v>80</v>
      </c>
      <c r="F131" s="13" t="s">
        <v>128</v>
      </c>
      <c r="G131" s="13" t="s">
        <v>591</v>
      </c>
      <c r="H131" s="13"/>
      <c r="I131" s="13" t="s">
        <v>599</v>
      </c>
      <c r="J131" s="732" t="s">
        <v>771</v>
      </c>
      <c r="K131" s="64"/>
      <c r="L131" s="64"/>
      <c r="M131" s="64"/>
      <c r="N131" s="12" t="s">
        <v>19</v>
      </c>
    </row>
    <row r="132" spans="1:17" ht="38.25" x14ac:dyDescent="0.25">
      <c r="A132" s="193" t="s">
        <v>130</v>
      </c>
      <c r="B132" s="12">
        <v>2333</v>
      </c>
      <c r="C132" s="12">
        <v>853</v>
      </c>
      <c r="D132" s="13" t="s">
        <v>592</v>
      </c>
      <c r="E132" s="13" t="s">
        <v>80</v>
      </c>
      <c r="F132" s="13" t="s">
        <v>129</v>
      </c>
      <c r="G132" s="13" t="s">
        <v>591</v>
      </c>
      <c r="H132" s="13"/>
      <c r="I132" s="13" t="s">
        <v>599</v>
      </c>
      <c r="J132" s="732" t="s">
        <v>771</v>
      </c>
      <c r="K132" s="64"/>
      <c r="L132" s="64"/>
      <c r="M132" s="64"/>
      <c r="N132" s="12" t="s">
        <v>19</v>
      </c>
    </row>
    <row r="133" spans="1:17" ht="15" customHeight="1" x14ac:dyDescent="0.25">
      <c r="A133" s="193" t="s">
        <v>132</v>
      </c>
      <c r="B133" s="12">
        <v>2334</v>
      </c>
      <c r="C133" s="12">
        <v>853</v>
      </c>
      <c r="D133" s="13" t="s">
        <v>592</v>
      </c>
      <c r="E133" s="13" t="s">
        <v>80</v>
      </c>
      <c r="F133" s="13" t="s">
        <v>131</v>
      </c>
      <c r="G133" s="13" t="s">
        <v>591</v>
      </c>
      <c r="H133" s="13"/>
      <c r="I133" s="13" t="s">
        <v>599</v>
      </c>
      <c r="J133" s="732" t="s">
        <v>771</v>
      </c>
      <c r="K133" s="64"/>
      <c r="L133" s="64"/>
      <c r="M133" s="64"/>
      <c r="N133" s="12" t="s">
        <v>19</v>
      </c>
    </row>
    <row r="134" spans="1:17" ht="15" customHeight="1" x14ac:dyDescent="0.25">
      <c r="A134" s="193" t="s">
        <v>132</v>
      </c>
      <c r="B134" s="12">
        <v>2334</v>
      </c>
      <c r="C134" s="12">
        <v>853</v>
      </c>
      <c r="D134" s="13" t="s">
        <v>423</v>
      </c>
      <c r="E134" s="13" t="s">
        <v>125</v>
      </c>
      <c r="F134" s="13" t="s">
        <v>131</v>
      </c>
      <c r="G134" s="13" t="s">
        <v>591</v>
      </c>
      <c r="H134" s="13"/>
      <c r="I134" s="13" t="s">
        <v>599</v>
      </c>
      <c r="J134" s="13" t="s">
        <v>618</v>
      </c>
      <c r="K134" s="64"/>
      <c r="L134" s="64"/>
      <c r="M134" s="64"/>
      <c r="N134" s="12" t="s">
        <v>19</v>
      </c>
    </row>
    <row r="135" spans="1:17" ht="38.25" x14ac:dyDescent="0.25">
      <c r="A135" s="729" t="s">
        <v>58</v>
      </c>
      <c r="B135" s="12">
        <v>2400</v>
      </c>
      <c r="C135" s="12" t="s">
        <v>19</v>
      </c>
      <c r="D135" s="13"/>
      <c r="E135" s="13"/>
      <c r="F135" s="13"/>
      <c r="G135" s="13"/>
      <c r="H135" s="13"/>
      <c r="I135" s="13"/>
      <c r="J135" s="13"/>
      <c r="K135" s="64">
        <f>K137+K138</f>
        <v>0</v>
      </c>
      <c r="L135" s="64">
        <f t="shared" ref="L135:M135" si="3">L137+L138</f>
        <v>0</v>
      </c>
      <c r="M135" s="64">
        <f t="shared" si="3"/>
        <v>0</v>
      </c>
      <c r="N135" s="12" t="s">
        <v>19</v>
      </c>
    </row>
    <row r="136" spans="1:17" x14ac:dyDescent="0.25">
      <c r="A136" s="16" t="s">
        <v>35</v>
      </c>
      <c r="B136" s="721"/>
      <c r="C136" s="721"/>
      <c r="D136" s="721"/>
      <c r="E136" s="721"/>
      <c r="F136" s="721"/>
      <c r="G136" s="721"/>
      <c r="H136" s="746"/>
      <c r="I136" s="746"/>
      <c r="J136" s="746"/>
      <c r="K136" s="709"/>
      <c r="L136" s="761"/>
      <c r="M136" s="711"/>
      <c r="N136" s="721"/>
    </row>
    <row r="137" spans="1:17" ht="30" customHeight="1" x14ac:dyDescent="0.25">
      <c r="A137" s="16" t="s">
        <v>59</v>
      </c>
      <c r="B137" s="744">
        <v>2410</v>
      </c>
      <c r="C137" s="12">
        <v>810</v>
      </c>
      <c r="D137" s="13"/>
      <c r="E137" s="13"/>
      <c r="F137" s="13"/>
      <c r="G137" s="13"/>
      <c r="H137" s="13"/>
      <c r="I137" s="13"/>
      <c r="J137" s="13"/>
      <c r="K137" s="64"/>
      <c r="L137" s="64"/>
      <c r="M137" s="64"/>
      <c r="N137" s="12" t="s">
        <v>19</v>
      </c>
    </row>
    <row r="138" spans="1:17" ht="30" customHeight="1" x14ac:dyDescent="0.25">
      <c r="A138" s="729" t="s">
        <v>133</v>
      </c>
      <c r="B138" s="12">
        <v>2420</v>
      </c>
      <c r="C138" s="12">
        <v>862</v>
      </c>
      <c r="D138" s="13" t="s">
        <v>592</v>
      </c>
      <c r="E138" s="13" t="s">
        <v>80</v>
      </c>
      <c r="F138" s="13" t="s">
        <v>134</v>
      </c>
      <c r="G138" s="13" t="s">
        <v>591</v>
      </c>
      <c r="H138" s="13"/>
      <c r="I138" s="13" t="s">
        <v>599</v>
      </c>
      <c r="J138" s="732" t="s">
        <v>771</v>
      </c>
      <c r="K138" s="64"/>
      <c r="L138" s="64"/>
      <c r="M138" s="64"/>
      <c r="N138" s="12" t="s">
        <v>19</v>
      </c>
    </row>
    <row r="139" spans="1:17" ht="25.5" x14ac:dyDescent="0.25">
      <c r="A139" s="729" t="s">
        <v>60</v>
      </c>
      <c r="B139" s="12">
        <v>2500</v>
      </c>
      <c r="C139" s="12" t="s">
        <v>19</v>
      </c>
      <c r="D139" s="13"/>
      <c r="E139" s="13"/>
      <c r="F139" s="13"/>
      <c r="G139" s="13"/>
      <c r="H139" s="13"/>
      <c r="I139" s="13"/>
      <c r="J139" s="13"/>
      <c r="K139" s="64">
        <f>K141</f>
        <v>0</v>
      </c>
      <c r="L139" s="64">
        <f t="shared" ref="L139:M139" si="4">L141</f>
        <v>0</v>
      </c>
      <c r="M139" s="64">
        <f t="shared" si="4"/>
        <v>0</v>
      </c>
      <c r="N139" s="12" t="s">
        <v>19</v>
      </c>
    </row>
    <row r="140" spans="1:17" x14ac:dyDescent="0.25">
      <c r="A140" s="16" t="s">
        <v>23</v>
      </c>
      <c r="B140" s="769"/>
      <c r="C140" s="770"/>
      <c r="D140" s="770"/>
      <c r="E140" s="770"/>
      <c r="F140" s="770"/>
      <c r="G140" s="770"/>
      <c r="H140" s="770"/>
      <c r="I140" s="770"/>
      <c r="J140" s="770"/>
      <c r="K140" s="770"/>
      <c r="L140" s="770"/>
      <c r="M140" s="770"/>
      <c r="N140" s="771"/>
    </row>
    <row r="141" spans="1:17" ht="63.75" x14ac:dyDescent="0.25">
      <c r="A141" s="16" t="s">
        <v>61</v>
      </c>
      <c r="B141" s="744">
        <v>2520</v>
      </c>
      <c r="C141" s="12">
        <v>831</v>
      </c>
      <c r="D141" s="13"/>
      <c r="E141" s="13"/>
      <c r="F141" s="13"/>
      <c r="G141" s="13"/>
      <c r="H141" s="13"/>
      <c r="I141" s="13"/>
      <c r="J141" s="13"/>
      <c r="K141" s="64">
        <f>SUM(K142:K147)</f>
        <v>0</v>
      </c>
      <c r="L141" s="64">
        <f t="shared" ref="L141:M141" si="5">SUM(L142:L147)</f>
        <v>0</v>
      </c>
      <c r="M141" s="64">
        <f t="shared" si="5"/>
        <v>0</v>
      </c>
      <c r="N141" s="12" t="s">
        <v>19</v>
      </c>
    </row>
    <row r="142" spans="1:17" x14ac:dyDescent="0.25">
      <c r="A142" s="193" t="s">
        <v>35</v>
      </c>
      <c r="B142" s="12"/>
      <c r="C142" s="12"/>
      <c r="D142" s="13"/>
      <c r="E142" s="13"/>
      <c r="F142" s="13"/>
      <c r="G142" s="13"/>
      <c r="H142" s="13"/>
      <c r="I142" s="13"/>
      <c r="J142" s="13"/>
      <c r="K142" s="64"/>
      <c r="L142" s="64"/>
      <c r="M142" s="64"/>
      <c r="N142" s="12" t="s">
        <v>19</v>
      </c>
    </row>
    <row r="143" spans="1:17" x14ac:dyDescent="0.25">
      <c r="A143" s="193" t="s">
        <v>126</v>
      </c>
      <c r="B143" s="12">
        <v>2521</v>
      </c>
      <c r="C143" s="12">
        <v>831</v>
      </c>
      <c r="D143" s="13" t="s">
        <v>592</v>
      </c>
      <c r="E143" s="13" t="s">
        <v>80</v>
      </c>
      <c r="F143" s="13" t="s">
        <v>124</v>
      </c>
      <c r="G143" s="13" t="s">
        <v>591</v>
      </c>
      <c r="H143" s="13"/>
      <c r="I143" s="13" t="s">
        <v>599</v>
      </c>
      <c r="J143" s="732" t="s">
        <v>771</v>
      </c>
      <c r="K143" s="64"/>
      <c r="L143" s="64"/>
      <c r="M143" s="64"/>
      <c r="N143" s="12" t="s">
        <v>19</v>
      </c>
    </row>
    <row r="144" spans="1:17" ht="38.25" x14ac:dyDescent="0.25">
      <c r="A144" s="193" t="s">
        <v>130</v>
      </c>
      <c r="B144" s="12">
        <v>2522</v>
      </c>
      <c r="C144" s="12">
        <v>831</v>
      </c>
      <c r="D144" s="13" t="s">
        <v>592</v>
      </c>
      <c r="E144" s="13" t="s">
        <v>80</v>
      </c>
      <c r="F144" s="13" t="s">
        <v>129</v>
      </c>
      <c r="G144" s="13" t="s">
        <v>591</v>
      </c>
      <c r="H144" s="13"/>
      <c r="I144" s="13" t="s">
        <v>599</v>
      </c>
      <c r="J144" s="732" t="s">
        <v>771</v>
      </c>
      <c r="K144" s="64"/>
      <c r="L144" s="64"/>
      <c r="M144" s="64"/>
      <c r="N144" s="12" t="s">
        <v>19</v>
      </c>
      <c r="Q144" s="712"/>
    </row>
    <row r="145" spans="1:15" x14ac:dyDescent="0.25">
      <c r="A145" s="193" t="s">
        <v>132</v>
      </c>
      <c r="B145" s="12">
        <v>2523</v>
      </c>
      <c r="C145" s="12">
        <v>831</v>
      </c>
      <c r="D145" s="13" t="s">
        <v>592</v>
      </c>
      <c r="E145" s="13" t="s">
        <v>80</v>
      </c>
      <c r="F145" s="13" t="s">
        <v>131</v>
      </c>
      <c r="G145" s="13" t="s">
        <v>591</v>
      </c>
      <c r="H145" s="13"/>
      <c r="I145" s="13" t="s">
        <v>599</v>
      </c>
      <c r="J145" s="732" t="s">
        <v>771</v>
      </c>
      <c r="K145" s="64"/>
      <c r="L145" s="64"/>
      <c r="M145" s="64"/>
      <c r="N145" s="12" t="s">
        <v>19</v>
      </c>
    </row>
    <row r="146" spans="1:15" ht="25.5" x14ac:dyDescent="0.25">
      <c r="A146" s="193" t="s">
        <v>136</v>
      </c>
      <c r="B146" s="12">
        <v>2524</v>
      </c>
      <c r="C146" s="12">
        <v>831</v>
      </c>
      <c r="D146" s="13" t="s">
        <v>592</v>
      </c>
      <c r="E146" s="13" t="s">
        <v>80</v>
      </c>
      <c r="F146" s="13" t="s">
        <v>135</v>
      </c>
      <c r="G146" s="13" t="s">
        <v>591</v>
      </c>
      <c r="H146" s="13"/>
      <c r="I146" s="13" t="s">
        <v>599</v>
      </c>
      <c r="J146" s="732" t="s">
        <v>771</v>
      </c>
      <c r="K146" s="64"/>
      <c r="L146" s="64"/>
      <c r="M146" s="64"/>
      <c r="N146" s="12" t="s">
        <v>19</v>
      </c>
    </row>
    <row r="147" spans="1:15" ht="25.5" x14ac:dyDescent="0.25">
      <c r="A147" s="193" t="s">
        <v>142</v>
      </c>
      <c r="B147" s="12">
        <v>2525</v>
      </c>
      <c r="C147" s="12">
        <v>831</v>
      </c>
      <c r="D147" s="13" t="s">
        <v>592</v>
      </c>
      <c r="E147" s="13" t="s">
        <v>80</v>
      </c>
      <c r="F147" s="13" t="s">
        <v>141</v>
      </c>
      <c r="G147" s="13" t="s">
        <v>591</v>
      </c>
      <c r="H147" s="13"/>
      <c r="I147" s="13" t="s">
        <v>599</v>
      </c>
      <c r="J147" s="732" t="s">
        <v>771</v>
      </c>
      <c r="K147" s="64"/>
      <c r="L147" s="64"/>
      <c r="M147" s="64"/>
      <c r="N147" s="12" t="s">
        <v>19</v>
      </c>
    </row>
    <row r="148" spans="1:15" ht="29.25" customHeight="1" x14ac:dyDescent="0.25">
      <c r="A148" s="729" t="s">
        <v>62</v>
      </c>
      <c r="B148" s="12">
        <v>2600</v>
      </c>
      <c r="C148" s="12" t="s">
        <v>19</v>
      </c>
      <c r="D148" s="13"/>
      <c r="E148" s="13"/>
      <c r="F148" s="13"/>
      <c r="G148" s="13"/>
      <c r="H148" s="13"/>
      <c r="I148" s="13"/>
      <c r="J148" s="13"/>
      <c r="K148" s="64">
        <f>K150+K151+K152+K158+K230</f>
        <v>23915726.829999998</v>
      </c>
      <c r="L148" s="64">
        <f>L150+L151+L152+L158+L230</f>
        <v>22516764.440000001</v>
      </c>
      <c r="M148" s="64">
        <f>M150+M151+M152+M158+M230</f>
        <v>22843803.16</v>
      </c>
      <c r="N148" s="64"/>
    </row>
    <row r="149" spans="1:15" x14ac:dyDescent="0.25">
      <c r="A149" s="16" t="s">
        <v>23</v>
      </c>
      <c r="B149" s="709"/>
      <c r="C149" s="761"/>
      <c r="D149" s="761"/>
      <c r="E149" s="761"/>
      <c r="F149" s="761"/>
      <c r="G149" s="761"/>
      <c r="H149" s="761"/>
      <c r="I149" s="761"/>
      <c r="J149" s="761"/>
      <c r="K149" s="761"/>
      <c r="L149" s="761"/>
      <c r="M149" s="761"/>
      <c r="N149" s="711"/>
    </row>
    <row r="150" spans="1:15" ht="25.5" x14ac:dyDescent="0.25">
      <c r="A150" s="16" t="s">
        <v>63</v>
      </c>
      <c r="B150" s="12">
        <v>2610</v>
      </c>
      <c r="C150" s="12">
        <v>241</v>
      </c>
      <c r="D150" s="13"/>
      <c r="E150" s="13"/>
      <c r="F150" s="13"/>
      <c r="G150" s="13"/>
      <c r="H150" s="13"/>
      <c r="I150" s="13"/>
      <c r="J150" s="13"/>
      <c r="K150" s="64"/>
      <c r="L150" s="64"/>
      <c r="M150" s="64"/>
      <c r="N150" s="721"/>
    </row>
    <row r="151" spans="1:15" ht="38.25" x14ac:dyDescent="0.25">
      <c r="A151" s="16" t="s">
        <v>64</v>
      </c>
      <c r="B151" s="12">
        <v>2620</v>
      </c>
      <c r="C151" s="12">
        <v>242</v>
      </c>
      <c r="D151" s="13"/>
      <c r="E151" s="13"/>
      <c r="F151" s="13"/>
      <c r="G151" s="13"/>
      <c r="H151" s="13"/>
      <c r="I151" s="13"/>
      <c r="J151" s="13"/>
      <c r="K151" s="64"/>
      <c r="L151" s="64"/>
      <c r="M151" s="64"/>
      <c r="N151" s="12"/>
    </row>
    <row r="152" spans="1:15" ht="38.25" x14ac:dyDescent="0.25">
      <c r="A152" s="16" t="s">
        <v>65</v>
      </c>
      <c r="B152" s="12">
        <v>2630</v>
      </c>
      <c r="C152" s="12">
        <v>243</v>
      </c>
      <c r="D152" s="13"/>
      <c r="E152" s="13"/>
      <c r="F152" s="13"/>
      <c r="G152" s="13"/>
      <c r="H152" s="13"/>
      <c r="I152" s="13"/>
      <c r="J152" s="13"/>
      <c r="K152" s="64">
        <f>SUM(K154:K157)</f>
        <v>0</v>
      </c>
      <c r="L152" s="64">
        <f>SUM(L154:L157)</f>
        <v>0</v>
      </c>
      <c r="M152" s="64">
        <f>SUM(M154:M157)</f>
        <v>0</v>
      </c>
      <c r="N152" s="64"/>
    </row>
    <row r="153" spans="1:15" x14ac:dyDescent="0.25">
      <c r="A153" s="193" t="s">
        <v>35</v>
      </c>
      <c r="B153" s="12"/>
      <c r="C153" s="12"/>
      <c r="D153" s="13"/>
      <c r="E153" s="13"/>
      <c r="F153" s="13"/>
      <c r="G153" s="13"/>
      <c r="H153" s="13"/>
      <c r="I153" s="13"/>
      <c r="J153" s="13"/>
      <c r="K153" s="64"/>
      <c r="L153" s="64"/>
      <c r="M153" s="64"/>
      <c r="N153" s="12"/>
    </row>
    <row r="154" spans="1:15" ht="51" x14ac:dyDescent="0.25">
      <c r="A154" s="193" t="s">
        <v>609</v>
      </c>
      <c r="B154" s="12">
        <v>2631</v>
      </c>
      <c r="C154" s="12">
        <v>243</v>
      </c>
      <c r="D154" s="13" t="s">
        <v>607</v>
      </c>
      <c r="E154" s="13" t="s">
        <v>424</v>
      </c>
      <c r="F154" s="13" t="s">
        <v>151</v>
      </c>
      <c r="G154" s="13" t="s">
        <v>635</v>
      </c>
      <c r="H154" s="13"/>
      <c r="I154" s="13" t="s">
        <v>599</v>
      </c>
      <c r="J154" s="13" t="s">
        <v>608</v>
      </c>
      <c r="K154" s="64"/>
      <c r="L154" s="64"/>
      <c r="M154" s="64"/>
      <c r="N154" s="12"/>
    </row>
    <row r="155" spans="1:15" x14ac:dyDescent="0.25">
      <c r="A155" s="193" t="s">
        <v>113</v>
      </c>
      <c r="B155" s="12">
        <v>2631</v>
      </c>
      <c r="C155" s="12">
        <v>243</v>
      </c>
      <c r="D155" s="13" t="s">
        <v>592</v>
      </c>
      <c r="E155" s="13" t="s">
        <v>80</v>
      </c>
      <c r="F155" s="13" t="s">
        <v>106</v>
      </c>
      <c r="G155" s="13" t="s">
        <v>591</v>
      </c>
      <c r="H155" s="13"/>
      <c r="I155" s="13" t="s">
        <v>599</v>
      </c>
      <c r="J155" s="732" t="s">
        <v>771</v>
      </c>
      <c r="K155" s="64"/>
      <c r="L155" s="64"/>
      <c r="M155" s="64"/>
      <c r="N155" s="12"/>
    </row>
    <row r="156" spans="1:15" x14ac:dyDescent="0.25">
      <c r="A156" s="193" t="s">
        <v>113</v>
      </c>
      <c r="B156" s="12">
        <v>2632</v>
      </c>
      <c r="C156" s="12">
        <v>243</v>
      </c>
      <c r="D156" s="13" t="s">
        <v>423</v>
      </c>
      <c r="E156" s="13" t="s">
        <v>125</v>
      </c>
      <c r="F156" s="13" t="s">
        <v>106</v>
      </c>
      <c r="G156" s="13" t="s">
        <v>612</v>
      </c>
      <c r="H156" s="13"/>
      <c r="I156" s="13" t="s">
        <v>599</v>
      </c>
      <c r="J156" s="13" t="s">
        <v>606</v>
      </c>
      <c r="K156" s="64"/>
      <c r="L156" s="64"/>
      <c r="M156" s="64"/>
      <c r="N156" s="12"/>
    </row>
    <row r="157" spans="1:15" x14ac:dyDescent="0.25">
      <c r="A157" s="193" t="s">
        <v>113</v>
      </c>
      <c r="B157" s="12">
        <v>2632</v>
      </c>
      <c r="C157" s="12">
        <v>243</v>
      </c>
      <c r="D157" s="13" t="s">
        <v>607</v>
      </c>
      <c r="E157" s="13" t="s">
        <v>424</v>
      </c>
      <c r="F157" s="13" t="s">
        <v>106</v>
      </c>
      <c r="G157" s="13" t="s">
        <v>605</v>
      </c>
      <c r="H157" s="13"/>
      <c r="I157" s="13" t="s">
        <v>599</v>
      </c>
      <c r="J157" s="13" t="s">
        <v>608</v>
      </c>
      <c r="K157" s="64"/>
      <c r="L157" s="64"/>
      <c r="M157" s="64"/>
      <c r="N157" s="12"/>
    </row>
    <row r="158" spans="1:15" ht="25.5" x14ac:dyDescent="0.25">
      <c r="A158" s="16" t="s">
        <v>66</v>
      </c>
      <c r="B158" s="12">
        <v>2640</v>
      </c>
      <c r="C158" s="12">
        <v>244</v>
      </c>
      <c r="D158" s="13"/>
      <c r="E158" s="13"/>
      <c r="F158" s="13"/>
      <c r="G158" s="13"/>
      <c r="H158" s="13"/>
      <c r="I158" s="13"/>
      <c r="J158" s="13"/>
      <c r="K158" s="64">
        <f>SUM(K160:K165)+SUM(K171:K177)+K178+SUM(K192:K203)+K222</f>
        <v>23915726.829999998</v>
      </c>
      <c r="L158" s="64">
        <f t="shared" ref="L158:M158" si="6">SUM(L160:L165)+SUM(L171:L177)+L178+SUM(L192:L203)+L222</f>
        <v>22516764.440000001</v>
      </c>
      <c r="M158" s="64">
        <f t="shared" si="6"/>
        <v>22843803.16</v>
      </c>
      <c r="N158" s="64"/>
      <c r="O158" s="772" t="s">
        <v>633</v>
      </c>
    </row>
    <row r="159" spans="1:15" x14ac:dyDescent="0.25">
      <c r="A159" s="193" t="s">
        <v>35</v>
      </c>
      <c r="B159" s="12"/>
      <c r="C159" s="12"/>
      <c r="D159" s="13"/>
      <c r="E159" s="13"/>
      <c r="F159" s="13"/>
      <c r="G159" s="13"/>
      <c r="H159" s="13"/>
      <c r="I159" s="13"/>
      <c r="J159" s="13"/>
      <c r="K159" s="64"/>
      <c r="L159" s="64"/>
      <c r="M159" s="64"/>
      <c r="N159" s="12"/>
    </row>
    <row r="160" spans="1:15" ht="15" customHeight="1" x14ac:dyDescent="0.25">
      <c r="A160" s="193" t="s">
        <v>143</v>
      </c>
      <c r="B160" s="12">
        <v>2641</v>
      </c>
      <c r="C160" s="12">
        <v>244</v>
      </c>
      <c r="D160" s="13" t="s">
        <v>592</v>
      </c>
      <c r="E160" s="13" t="s">
        <v>80</v>
      </c>
      <c r="F160" s="13" t="s">
        <v>144</v>
      </c>
      <c r="G160" s="13" t="s">
        <v>636</v>
      </c>
      <c r="H160" s="13"/>
      <c r="I160" s="13" t="s">
        <v>599</v>
      </c>
      <c r="J160" s="732" t="s">
        <v>771</v>
      </c>
      <c r="K160" s="64">
        <v>5000</v>
      </c>
      <c r="L160" s="64">
        <v>5000</v>
      </c>
      <c r="M160" s="64">
        <v>5000</v>
      </c>
      <c r="N160" s="12"/>
    </row>
    <row r="161" spans="1:15" ht="15" customHeight="1" x14ac:dyDescent="0.25">
      <c r="A161" s="193" t="s">
        <v>143</v>
      </c>
      <c r="B161" s="12">
        <v>2641</v>
      </c>
      <c r="C161" s="12">
        <v>244</v>
      </c>
      <c r="D161" s="13" t="s">
        <v>423</v>
      </c>
      <c r="E161" s="13" t="s">
        <v>125</v>
      </c>
      <c r="F161" s="13" t="s">
        <v>144</v>
      </c>
      <c r="G161" s="13" t="s">
        <v>612</v>
      </c>
      <c r="H161" s="13"/>
      <c r="I161" s="13" t="s">
        <v>599</v>
      </c>
      <c r="J161" s="13" t="s">
        <v>606</v>
      </c>
      <c r="K161" s="64">
        <v>53280</v>
      </c>
      <c r="L161" s="64">
        <v>53280</v>
      </c>
      <c r="M161" s="64">
        <v>53280</v>
      </c>
      <c r="N161" s="12"/>
    </row>
    <row r="162" spans="1:15" ht="15" customHeight="1" x14ac:dyDescent="0.25">
      <c r="A162" s="193" t="s">
        <v>143</v>
      </c>
      <c r="B162" s="12">
        <v>2641</v>
      </c>
      <c r="C162" s="12">
        <v>244</v>
      </c>
      <c r="D162" s="13" t="s">
        <v>423</v>
      </c>
      <c r="E162" s="13" t="s">
        <v>125</v>
      </c>
      <c r="F162" s="13" t="s">
        <v>144</v>
      </c>
      <c r="G162" s="13" t="s">
        <v>612</v>
      </c>
      <c r="H162" s="13"/>
      <c r="I162" s="13" t="s">
        <v>599</v>
      </c>
      <c r="J162" s="13" t="s">
        <v>601</v>
      </c>
      <c r="K162" s="64">
        <v>204568.08</v>
      </c>
      <c r="L162" s="64">
        <v>204568.08</v>
      </c>
      <c r="M162" s="64">
        <v>204568.08</v>
      </c>
      <c r="N162" s="12"/>
    </row>
    <row r="163" spans="1:15" x14ac:dyDescent="0.25">
      <c r="A163" s="193" t="s">
        <v>112</v>
      </c>
      <c r="B163" s="12">
        <v>2642</v>
      </c>
      <c r="C163" s="12">
        <v>244</v>
      </c>
      <c r="D163" s="13" t="s">
        <v>592</v>
      </c>
      <c r="E163" s="13" t="s">
        <v>80</v>
      </c>
      <c r="F163" s="13" t="s">
        <v>111</v>
      </c>
      <c r="G163" s="13" t="s">
        <v>636</v>
      </c>
      <c r="H163" s="13"/>
      <c r="I163" s="13" t="s">
        <v>599</v>
      </c>
      <c r="J163" s="732" t="s">
        <v>771</v>
      </c>
      <c r="K163" s="64">
        <v>2000</v>
      </c>
      <c r="L163" s="64">
        <v>2000</v>
      </c>
      <c r="M163" s="64">
        <v>2000</v>
      </c>
      <c r="N163" s="12"/>
    </row>
    <row r="164" spans="1:15" x14ac:dyDescent="0.25">
      <c r="A164" s="193" t="s">
        <v>112</v>
      </c>
      <c r="B164" s="12">
        <v>2642</v>
      </c>
      <c r="C164" s="12">
        <v>244</v>
      </c>
      <c r="D164" s="13" t="s">
        <v>423</v>
      </c>
      <c r="E164" s="13" t="s">
        <v>125</v>
      </c>
      <c r="F164" s="13" t="s">
        <v>111</v>
      </c>
      <c r="G164" s="13" t="s">
        <v>612</v>
      </c>
      <c r="H164" s="13"/>
      <c r="I164" s="13" t="s">
        <v>599</v>
      </c>
      <c r="J164" s="13" t="s">
        <v>606</v>
      </c>
      <c r="K164" s="64"/>
      <c r="L164" s="64"/>
      <c r="M164" s="64"/>
      <c r="N164" s="12"/>
    </row>
    <row r="165" spans="1:15" x14ac:dyDescent="0.25">
      <c r="A165" s="193" t="s">
        <v>145</v>
      </c>
      <c r="B165" s="12">
        <v>2643</v>
      </c>
      <c r="C165" s="12">
        <v>244</v>
      </c>
      <c r="D165" s="13"/>
      <c r="E165" s="13"/>
      <c r="F165" s="13" t="s">
        <v>146</v>
      </c>
      <c r="G165" s="13"/>
      <c r="H165" s="13"/>
      <c r="I165" s="13"/>
      <c r="J165" s="13"/>
      <c r="K165" s="64">
        <f>SUM(K167:K170)</f>
        <v>879501.14</v>
      </c>
      <c r="L165" s="64">
        <f t="shared" ref="L165:M165" si="7">SUM(L167:L170)</f>
        <v>678943.06</v>
      </c>
      <c r="M165" s="64">
        <f t="shared" si="7"/>
        <v>692262.73</v>
      </c>
      <c r="N165" s="64"/>
    </row>
    <row r="166" spans="1:15" x14ac:dyDescent="0.25">
      <c r="A166" s="193" t="s">
        <v>23</v>
      </c>
      <c r="B166" s="12"/>
      <c r="C166" s="12"/>
      <c r="D166" s="13"/>
      <c r="E166" s="13"/>
      <c r="F166" s="13"/>
      <c r="G166" s="13"/>
      <c r="H166" s="13"/>
      <c r="I166" s="13"/>
      <c r="J166" s="13"/>
      <c r="K166" s="64"/>
      <c r="L166" s="64"/>
      <c r="M166" s="64"/>
      <c r="N166" s="12"/>
    </row>
    <row r="167" spans="1:15" x14ac:dyDescent="0.25">
      <c r="A167" s="193" t="s">
        <v>434</v>
      </c>
      <c r="B167" s="12"/>
      <c r="C167" s="12">
        <v>244</v>
      </c>
      <c r="D167" s="13" t="s">
        <v>592</v>
      </c>
      <c r="E167" s="13" t="s">
        <v>80</v>
      </c>
      <c r="F167" s="13" t="s">
        <v>146</v>
      </c>
      <c r="G167" s="13" t="s">
        <v>638</v>
      </c>
      <c r="H167" s="13"/>
      <c r="I167" s="13" t="s">
        <v>599</v>
      </c>
      <c r="J167" s="732" t="s">
        <v>771</v>
      </c>
      <c r="K167" s="64">
        <f>312375.06+213053.08</f>
        <v>525428.14</v>
      </c>
      <c r="L167" s="64">
        <v>324870.06</v>
      </c>
      <c r="M167" s="64">
        <v>338189.73</v>
      </c>
      <c r="N167" s="12"/>
      <c r="O167" s="773"/>
    </row>
    <row r="168" spans="1:15" x14ac:dyDescent="0.25">
      <c r="A168" s="193" t="s">
        <v>434</v>
      </c>
      <c r="B168" s="12"/>
      <c r="C168" s="12">
        <v>247</v>
      </c>
      <c r="D168" s="13" t="s">
        <v>423</v>
      </c>
      <c r="E168" s="13" t="s">
        <v>125</v>
      </c>
      <c r="F168" s="13" t="s">
        <v>146</v>
      </c>
      <c r="G168" s="13" t="s">
        <v>612</v>
      </c>
      <c r="H168" s="13"/>
      <c r="I168" s="13" t="s">
        <v>599</v>
      </c>
      <c r="J168" s="13" t="s">
        <v>606</v>
      </c>
      <c r="K168" s="64">
        <v>258073</v>
      </c>
      <c r="L168" s="64">
        <v>258073</v>
      </c>
      <c r="M168" s="64">
        <v>258073</v>
      </c>
      <c r="N168" s="12"/>
    </row>
    <row r="169" spans="1:15" ht="25.5" x14ac:dyDescent="0.25">
      <c r="A169" s="193" t="s">
        <v>147</v>
      </c>
      <c r="B169" s="12"/>
      <c r="C169" s="12">
        <v>244</v>
      </c>
      <c r="D169" s="13" t="s">
        <v>592</v>
      </c>
      <c r="E169" s="13" t="s">
        <v>80</v>
      </c>
      <c r="F169" s="13" t="s">
        <v>146</v>
      </c>
      <c r="G169" s="13" t="s">
        <v>636</v>
      </c>
      <c r="H169" s="13"/>
      <c r="I169" s="13" t="s">
        <v>599</v>
      </c>
      <c r="J169" s="732" t="s">
        <v>771</v>
      </c>
      <c r="K169" s="64"/>
      <c r="L169" s="64"/>
      <c r="M169" s="64"/>
      <c r="N169" s="12"/>
      <c r="O169" s="7"/>
    </row>
    <row r="170" spans="1:15" ht="25.5" x14ac:dyDescent="0.25">
      <c r="A170" s="193" t="s">
        <v>147</v>
      </c>
      <c r="B170" s="12"/>
      <c r="C170" s="12">
        <v>244</v>
      </c>
      <c r="D170" s="13" t="s">
        <v>423</v>
      </c>
      <c r="E170" s="13" t="s">
        <v>125</v>
      </c>
      <c r="F170" s="13" t="s">
        <v>146</v>
      </c>
      <c r="G170" s="13" t="s">
        <v>612</v>
      </c>
      <c r="H170" s="13"/>
      <c r="I170" s="13" t="s">
        <v>599</v>
      </c>
      <c r="J170" s="13" t="s">
        <v>606</v>
      </c>
      <c r="K170" s="64">
        <v>96000</v>
      </c>
      <c r="L170" s="64">
        <v>96000</v>
      </c>
      <c r="M170" s="64">
        <v>96000</v>
      </c>
      <c r="N170" s="12"/>
      <c r="O170" s="7"/>
    </row>
    <row r="171" spans="1:15" ht="25.5" x14ac:dyDescent="0.25">
      <c r="A171" s="193" t="s">
        <v>148</v>
      </c>
      <c r="B171" s="12">
        <v>2644</v>
      </c>
      <c r="C171" s="12">
        <v>244</v>
      </c>
      <c r="D171" s="13" t="s">
        <v>592</v>
      </c>
      <c r="E171" s="13" t="s">
        <v>80</v>
      </c>
      <c r="F171" s="13" t="s">
        <v>149</v>
      </c>
      <c r="G171" s="13" t="s">
        <v>636</v>
      </c>
      <c r="H171" s="13"/>
      <c r="I171" s="13" t="s">
        <v>599</v>
      </c>
      <c r="J171" s="732" t="s">
        <v>771</v>
      </c>
      <c r="K171" s="64"/>
      <c r="L171" s="64"/>
      <c r="M171" s="64"/>
      <c r="N171" s="12"/>
      <c r="O171" s="7"/>
    </row>
    <row r="172" spans="1:15" ht="25.5" x14ac:dyDescent="0.25">
      <c r="A172" s="193" t="s">
        <v>148</v>
      </c>
      <c r="B172" s="12">
        <v>2644</v>
      </c>
      <c r="C172" s="12">
        <v>244</v>
      </c>
      <c r="D172" s="13" t="s">
        <v>429</v>
      </c>
      <c r="E172" s="13" t="s">
        <v>424</v>
      </c>
      <c r="F172" s="13" t="s">
        <v>149</v>
      </c>
      <c r="G172" s="13" t="s">
        <v>635</v>
      </c>
      <c r="H172" s="13"/>
      <c r="I172" s="13" t="s">
        <v>599</v>
      </c>
      <c r="J172" s="13" t="s">
        <v>610</v>
      </c>
      <c r="K172" s="64"/>
      <c r="L172" s="64"/>
      <c r="M172" s="64"/>
      <c r="N172" s="12"/>
      <c r="O172" s="7"/>
    </row>
    <row r="173" spans="1:15" ht="25.5" x14ac:dyDescent="0.25">
      <c r="A173" s="193" t="s">
        <v>150</v>
      </c>
      <c r="B173" s="12">
        <v>2645</v>
      </c>
      <c r="C173" s="12">
        <v>244</v>
      </c>
      <c r="D173" s="13" t="s">
        <v>592</v>
      </c>
      <c r="E173" s="13" t="s">
        <v>80</v>
      </c>
      <c r="F173" s="13" t="s">
        <v>151</v>
      </c>
      <c r="G173" s="13" t="s">
        <v>636</v>
      </c>
      <c r="H173" s="13"/>
      <c r="I173" s="13" t="s">
        <v>599</v>
      </c>
      <c r="J173" s="732" t="s">
        <v>771</v>
      </c>
      <c r="K173" s="64">
        <f>287193.51+10510.2</f>
        <v>297703.71000000002</v>
      </c>
      <c r="L173" s="64">
        <v>384143.35</v>
      </c>
      <c r="M173" s="64">
        <v>393530.35</v>
      </c>
      <c r="N173" s="64"/>
      <c r="O173" s="7"/>
    </row>
    <row r="174" spans="1:15" ht="25.5" x14ac:dyDescent="0.25">
      <c r="A174" s="193" t="s">
        <v>150</v>
      </c>
      <c r="B174" s="12"/>
      <c r="C174" s="12">
        <v>244</v>
      </c>
      <c r="D174" s="13" t="s">
        <v>423</v>
      </c>
      <c r="E174" s="13" t="s">
        <v>125</v>
      </c>
      <c r="F174" s="13" t="s">
        <v>151</v>
      </c>
      <c r="G174" s="13" t="s">
        <v>612</v>
      </c>
      <c r="H174" s="13"/>
      <c r="I174" s="13" t="s">
        <v>599</v>
      </c>
      <c r="J174" s="13" t="s">
        <v>606</v>
      </c>
      <c r="K174" s="717">
        <f>2731566.63-133783.02</f>
        <v>2597783.61</v>
      </c>
      <c r="L174" s="64">
        <v>2731566.63</v>
      </c>
      <c r="M174" s="64">
        <v>2731566.63</v>
      </c>
      <c r="N174" s="12"/>
      <c r="O174" s="7"/>
    </row>
    <row r="175" spans="1:15" ht="25.5" x14ac:dyDescent="0.25">
      <c r="A175" s="193" t="s">
        <v>150</v>
      </c>
      <c r="B175" s="12"/>
      <c r="C175" s="12">
        <v>244</v>
      </c>
      <c r="D175" s="13" t="s">
        <v>423</v>
      </c>
      <c r="E175" s="13" t="s">
        <v>125</v>
      </c>
      <c r="F175" s="13" t="s">
        <v>151</v>
      </c>
      <c r="G175" s="13" t="s">
        <v>612</v>
      </c>
      <c r="H175" s="13"/>
      <c r="I175" s="13" t="s">
        <v>599</v>
      </c>
      <c r="J175" s="13" t="s">
        <v>601</v>
      </c>
      <c r="K175" s="64"/>
      <c r="L175" s="64"/>
      <c r="M175" s="64"/>
      <c r="N175" s="12"/>
      <c r="O175" s="7"/>
    </row>
    <row r="176" spans="1:15" ht="25.5" x14ac:dyDescent="0.25">
      <c r="A176" s="193" t="s">
        <v>150</v>
      </c>
      <c r="B176" s="12"/>
      <c r="C176" s="12">
        <v>244</v>
      </c>
      <c r="D176" s="13" t="s">
        <v>431</v>
      </c>
      <c r="E176" s="13" t="s">
        <v>424</v>
      </c>
      <c r="F176" s="13" t="s">
        <v>151</v>
      </c>
      <c r="G176" s="13" t="s">
        <v>605</v>
      </c>
      <c r="H176" s="13"/>
      <c r="I176" s="13" t="s">
        <v>599</v>
      </c>
      <c r="J176" s="13" t="s">
        <v>611</v>
      </c>
      <c r="K176" s="64"/>
      <c r="L176" s="64"/>
      <c r="M176" s="64"/>
      <c r="N176" s="12"/>
      <c r="O176" s="7"/>
    </row>
    <row r="177" spans="1:15" ht="25.5" x14ac:dyDescent="0.25">
      <c r="A177" s="193" t="s">
        <v>150</v>
      </c>
      <c r="B177" s="12"/>
      <c r="C177" s="12">
        <v>244</v>
      </c>
      <c r="D177" s="13" t="s">
        <v>607</v>
      </c>
      <c r="E177" s="13" t="s">
        <v>424</v>
      </c>
      <c r="F177" s="13" t="s">
        <v>151</v>
      </c>
      <c r="G177" s="13" t="s">
        <v>605</v>
      </c>
      <c r="H177" s="13"/>
      <c r="I177" s="13" t="s">
        <v>599</v>
      </c>
      <c r="J177" s="13" t="s">
        <v>608</v>
      </c>
      <c r="K177" s="64"/>
      <c r="L177" s="64"/>
      <c r="M177" s="64"/>
      <c r="N177" s="12"/>
      <c r="O177" s="7"/>
    </row>
    <row r="178" spans="1:15" x14ac:dyDescent="0.25">
      <c r="A178" s="193" t="s">
        <v>152</v>
      </c>
      <c r="B178" s="12">
        <v>2646</v>
      </c>
      <c r="C178" s="12">
        <v>244</v>
      </c>
      <c r="D178" s="13"/>
      <c r="E178" s="13"/>
      <c r="F178" s="13" t="s">
        <v>106</v>
      </c>
      <c r="G178" s="13"/>
      <c r="H178" s="13"/>
      <c r="I178" s="13"/>
      <c r="J178" s="13"/>
      <c r="K178" s="64">
        <f>SUM(K180:K191)</f>
        <v>11308274.550000001</v>
      </c>
      <c r="L178" s="64">
        <f t="shared" ref="L178:M178" si="8">SUM(L180:L191)</f>
        <v>10249174.970000001</v>
      </c>
      <c r="M178" s="64">
        <f t="shared" si="8"/>
        <v>10410585.720000001</v>
      </c>
      <c r="N178" s="64"/>
      <c r="O178" s="7"/>
    </row>
    <row r="179" spans="1:15" x14ac:dyDescent="0.25">
      <c r="A179" s="193" t="s">
        <v>23</v>
      </c>
      <c r="B179" s="12"/>
      <c r="C179" s="12"/>
      <c r="D179" s="13"/>
      <c r="E179" s="13"/>
      <c r="F179" s="13"/>
      <c r="G179" s="13"/>
      <c r="H179" s="13"/>
      <c r="I179" s="13"/>
      <c r="J179" s="13"/>
      <c r="K179" s="64"/>
      <c r="L179" s="64"/>
      <c r="M179" s="64"/>
      <c r="N179" s="12"/>
      <c r="O179" s="7"/>
    </row>
    <row r="180" spans="1:15" x14ac:dyDescent="0.25">
      <c r="A180" s="193" t="s">
        <v>153</v>
      </c>
      <c r="B180" s="12"/>
      <c r="C180" s="12">
        <v>244</v>
      </c>
      <c r="D180" s="13" t="s">
        <v>592</v>
      </c>
      <c r="E180" s="13" t="s">
        <v>80</v>
      </c>
      <c r="F180" s="13" t="s">
        <v>106</v>
      </c>
      <c r="G180" s="13" t="s">
        <v>636</v>
      </c>
      <c r="H180" s="13"/>
      <c r="I180" s="13" t="s">
        <v>599</v>
      </c>
      <c r="J180" s="732" t="s">
        <v>771</v>
      </c>
      <c r="K180" s="64">
        <f>6239152.4+76035.4</f>
        <v>6315187.8000000007</v>
      </c>
      <c r="L180" s="64">
        <v>6488718.5</v>
      </c>
      <c r="M180" s="64">
        <v>6754755.96</v>
      </c>
      <c r="N180" s="12"/>
      <c r="O180" s="7"/>
    </row>
    <row r="181" spans="1:15" x14ac:dyDescent="0.25">
      <c r="A181" s="193" t="s">
        <v>153</v>
      </c>
      <c r="B181" s="12"/>
      <c r="C181" s="12">
        <v>244</v>
      </c>
      <c r="D181" s="13" t="s">
        <v>423</v>
      </c>
      <c r="E181" s="13" t="s">
        <v>125</v>
      </c>
      <c r="F181" s="13" t="s">
        <v>106</v>
      </c>
      <c r="G181" s="13" t="s">
        <v>612</v>
      </c>
      <c r="H181" s="13"/>
      <c r="I181" s="13" t="s">
        <v>599</v>
      </c>
      <c r="J181" s="13" t="s">
        <v>606</v>
      </c>
      <c r="K181" s="717">
        <f>2085218.16+196175.38+283952.57</f>
        <v>2565346.11</v>
      </c>
      <c r="L181" s="64">
        <v>2085218.1600000001</v>
      </c>
      <c r="M181" s="64">
        <v>2085218.1600000001</v>
      </c>
      <c r="N181" s="12"/>
      <c r="O181" s="7"/>
    </row>
    <row r="182" spans="1:15" x14ac:dyDescent="0.25">
      <c r="A182" s="193" t="s">
        <v>153</v>
      </c>
      <c r="B182" s="12"/>
      <c r="C182" s="12">
        <v>244</v>
      </c>
      <c r="D182" s="13" t="s">
        <v>423</v>
      </c>
      <c r="E182" s="13" t="s">
        <v>125</v>
      </c>
      <c r="F182" s="13" t="s">
        <v>106</v>
      </c>
      <c r="G182" s="13" t="s">
        <v>612</v>
      </c>
      <c r="H182" s="13"/>
      <c r="I182" s="13" t="s">
        <v>599</v>
      </c>
      <c r="J182" s="13" t="s">
        <v>601</v>
      </c>
      <c r="K182" s="64"/>
      <c r="L182" s="64"/>
      <c r="M182" s="64"/>
      <c r="N182" s="12"/>
      <c r="O182" s="7"/>
    </row>
    <row r="183" spans="1:15" x14ac:dyDescent="0.25">
      <c r="A183" s="193" t="s">
        <v>153</v>
      </c>
      <c r="B183" s="12"/>
      <c r="C183" s="12">
        <v>244</v>
      </c>
      <c r="D183" s="13" t="s">
        <v>426</v>
      </c>
      <c r="E183" s="13" t="s">
        <v>424</v>
      </c>
      <c r="F183" s="13" t="s">
        <v>106</v>
      </c>
      <c r="G183" s="13" t="s">
        <v>605</v>
      </c>
      <c r="H183" s="13"/>
      <c r="I183" s="13" t="s">
        <v>614</v>
      </c>
      <c r="J183" s="13" t="s">
        <v>601</v>
      </c>
      <c r="K183" s="64">
        <v>402091.14</v>
      </c>
      <c r="L183" s="64">
        <v>143948.63</v>
      </c>
      <c r="M183" s="64">
        <v>49086.48</v>
      </c>
      <c r="N183" s="12"/>
      <c r="O183" s="7"/>
    </row>
    <row r="184" spans="1:15" ht="25.5" x14ac:dyDescent="0.25">
      <c r="A184" s="193" t="s">
        <v>154</v>
      </c>
      <c r="B184" s="12"/>
      <c r="C184" s="12">
        <v>244</v>
      </c>
      <c r="D184" s="13" t="s">
        <v>592</v>
      </c>
      <c r="E184" s="13" t="s">
        <v>80</v>
      </c>
      <c r="F184" s="13" t="s">
        <v>106</v>
      </c>
      <c r="G184" s="13" t="s">
        <v>636</v>
      </c>
      <c r="H184" s="13"/>
      <c r="I184" s="13"/>
      <c r="J184" s="13"/>
      <c r="K184" s="64"/>
      <c r="L184" s="64"/>
      <c r="M184" s="64"/>
      <c r="N184" s="12"/>
      <c r="O184" s="7"/>
    </row>
    <row r="185" spans="1:15" x14ac:dyDescent="0.25">
      <c r="A185" s="193" t="s">
        <v>155</v>
      </c>
      <c r="B185" s="12"/>
      <c r="C185" s="12">
        <v>244</v>
      </c>
      <c r="D185" s="13" t="s">
        <v>592</v>
      </c>
      <c r="E185" s="13" t="s">
        <v>80</v>
      </c>
      <c r="F185" s="13" t="s">
        <v>106</v>
      </c>
      <c r="G185" s="13" t="s">
        <v>636</v>
      </c>
      <c r="H185" s="13"/>
      <c r="I185" s="13" t="s">
        <v>599</v>
      </c>
      <c r="J185" s="732" t="s">
        <v>771</v>
      </c>
      <c r="K185" s="64"/>
      <c r="L185" s="64"/>
      <c r="M185" s="64"/>
      <c r="N185" s="12"/>
      <c r="O185" s="7"/>
    </row>
    <row r="186" spans="1:15" x14ac:dyDescent="0.25">
      <c r="A186" s="193" t="s">
        <v>156</v>
      </c>
      <c r="B186" s="12"/>
      <c r="C186" s="12">
        <v>244</v>
      </c>
      <c r="D186" s="13" t="s">
        <v>592</v>
      </c>
      <c r="E186" s="13" t="s">
        <v>80</v>
      </c>
      <c r="F186" s="13" t="s">
        <v>106</v>
      </c>
      <c r="G186" s="13" t="s">
        <v>636</v>
      </c>
      <c r="H186" s="13"/>
      <c r="I186" s="13" t="s">
        <v>599</v>
      </c>
      <c r="J186" s="732" t="s">
        <v>771</v>
      </c>
      <c r="K186" s="64"/>
      <c r="L186" s="64"/>
      <c r="M186" s="64"/>
      <c r="N186" s="12"/>
      <c r="O186" s="7"/>
    </row>
    <row r="187" spans="1:15" x14ac:dyDescent="0.25">
      <c r="A187" s="193" t="s">
        <v>113</v>
      </c>
      <c r="B187" s="12"/>
      <c r="C187" s="12">
        <v>244</v>
      </c>
      <c r="D187" s="13" t="s">
        <v>592</v>
      </c>
      <c r="E187" s="13" t="s">
        <v>80</v>
      </c>
      <c r="F187" s="13" t="s">
        <v>106</v>
      </c>
      <c r="G187" s="13" t="s">
        <v>636</v>
      </c>
      <c r="H187" s="13"/>
      <c r="I187" s="13" t="s">
        <v>599</v>
      </c>
      <c r="J187" s="732" t="s">
        <v>771</v>
      </c>
      <c r="K187" s="64">
        <f>600000+407713.67+53186.54</f>
        <v>1060900.21</v>
      </c>
      <c r="L187" s="64">
        <f>657904-9160</f>
        <v>648744</v>
      </c>
      <c r="M187" s="64">
        <f>657904-18924.56</f>
        <v>638979.43999999994</v>
      </c>
      <c r="N187" s="12"/>
      <c r="O187" s="7"/>
    </row>
    <row r="188" spans="1:15" x14ac:dyDescent="0.25">
      <c r="A188" s="193" t="s">
        <v>113</v>
      </c>
      <c r="B188" s="12"/>
      <c r="C188" s="12">
        <v>244</v>
      </c>
      <c r="D188" s="13" t="s">
        <v>423</v>
      </c>
      <c r="E188" s="13" t="s">
        <v>125</v>
      </c>
      <c r="F188" s="13" t="s">
        <v>106</v>
      </c>
      <c r="G188" s="13" t="s">
        <v>612</v>
      </c>
      <c r="H188" s="13"/>
      <c r="I188" s="13" t="s">
        <v>599</v>
      </c>
      <c r="J188" s="13" t="s">
        <v>606</v>
      </c>
      <c r="K188" s="64">
        <f>848931.76+82203.61</f>
        <v>931135.37</v>
      </c>
      <c r="L188" s="64">
        <v>848931.76</v>
      </c>
      <c r="M188" s="64">
        <v>848931.76</v>
      </c>
      <c r="N188" s="12"/>
      <c r="O188" s="7"/>
    </row>
    <row r="189" spans="1:15" x14ac:dyDescent="0.25">
      <c r="A189" s="193" t="s">
        <v>113</v>
      </c>
      <c r="B189" s="12"/>
      <c r="C189" s="12">
        <v>244</v>
      </c>
      <c r="D189" s="13" t="s">
        <v>423</v>
      </c>
      <c r="E189" s="13" t="s">
        <v>125</v>
      </c>
      <c r="F189" s="13" t="s">
        <v>106</v>
      </c>
      <c r="G189" s="13" t="s">
        <v>612</v>
      </c>
      <c r="H189" s="13"/>
      <c r="I189" s="13" t="s">
        <v>599</v>
      </c>
      <c r="J189" s="13" t="s">
        <v>601</v>
      </c>
      <c r="K189" s="64">
        <v>33613.919999999998</v>
      </c>
      <c r="L189" s="64">
        <v>33613.919999999998</v>
      </c>
      <c r="M189" s="64">
        <v>33613.919999999998</v>
      </c>
      <c r="N189" s="12"/>
      <c r="O189" s="7"/>
    </row>
    <row r="190" spans="1:15" ht="15" customHeight="1" x14ac:dyDescent="0.25">
      <c r="A190" s="193" t="s">
        <v>113</v>
      </c>
      <c r="B190" s="12"/>
      <c r="C190" s="12">
        <v>244</v>
      </c>
      <c r="D190" s="13" t="s">
        <v>607</v>
      </c>
      <c r="E190" s="13" t="s">
        <v>424</v>
      </c>
      <c r="F190" s="13" t="s">
        <v>106</v>
      </c>
      <c r="G190" s="13" t="s">
        <v>605</v>
      </c>
      <c r="H190" s="13"/>
      <c r="I190" s="13" t="s">
        <v>599</v>
      </c>
      <c r="J190" s="13" t="s">
        <v>608</v>
      </c>
      <c r="K190" s="64"/>
      <c r="L190" s="64"/>
      <c r="M190" s="64"/>
      <c r="N190" s="12"/>
    </row>
    <row r="191" spans="1:15" x14ac:dyDescent="0.25">
      <c r="A191" s="193" t="s">
        <v>113</v>
      </c>
      <c r="B191" s="12"/>
      <c r="C191" s="12">
        <v>244</v>
      </c>
      <c r="D191" s="13" t="s">
        <v>613</v>
      </c>
      <c r="E191" s="13" t="s">
        <v>424</v>
      </c>
      <c r="F191" s="13" t="s">
        <v>106</v>
      </c>
      <c r="G191" s="13" t="s">
        <v>635</v>
      </c>
      <c r="H191" s="13"/>
      <c r="I191" s="13" t="s">
        <v>614</v>
      </c>
      <c r="J191" s="13" t="s">
        <v>601</v>
      </c>
      <c r="K191" s="64"/>
      <c r="L191" s="64"/>
      <c r="M191" s="64"/>
      <c r="N191" s="12"/>
    </row>
    <row r="192" spans="1:15" x14ac:dyDescent="0.25">
      <c r="A192" s="193" t="s">
        <v>159</v>
      </c>
      <c r="B192" s="12"/>
      <c r="C192" s="12">
        <v>244</v>
      </c>
      <c r="D192" s="13" t="s">
        <v>592</v>
      </c>
      <c r="E192" s="13" t="s">
        <v>80</v>
      </c>
      <c r="F192" s="13" t="s">
        <v>157</v>
      </c>
      <c r="G192" s="13" t="s">
        <v>636</v>
      </c>
      <c r="H192" s="13"/>
      <c r="I192" s="13" t="s">
        <v>599</v>
      </c>
      <c r="J192" s="732" t="s">
        <v>771</v>
      </c>
      <c r="K192" s="64">
        <v>20000</v>
      </c>
      <c r="L192" s="64">
        <v>20000</v>
      </c>
      <c r="M192" s="64">
        <v>20000</v>
      </c>
      <c r="N192" s="12"/>
      <c r="O192" s="7"/>
    </row>
    <row r="193" spans="1:15" x14ac:dyDescent="0.25">
      <c r="A193" s="193" t="s">
        <v>159</v>
      </c>
      <c r="B193" s="12"/>
      <c r="C193" s="12">
        <v>224</v>
      </c>
      <c r="D193" s="13" t="s">
        <v>423</v>
      </c>
      <c r="E193" s="13" t="s">
        <v>125</v>
      </c>
      <c r="F193" s="13" t="s">
        <v>157</v>
      </c>
      <c r="G193" s="13" t="s">
        <v>612</v>
      </c>
      <c r="H193" s="13"/>
      <c r="I193" s="13" t="s">
        <v>599</v>
      </c>
      <c r="J193" s="13" t="s">
        <v>606</v>
      </c>
      <c r="K193" s="64"/>
      <c r="L193" s="64"/>
      <c r="M193" s="64"/>
      <c r="N193" s="12"/>
      <c r="O193" s="7"/>
    </row>
    <row r="194" spans="1:15" ht="25.5" x14ac:dyDescent="0.25">
      <c r="A194" s="193" t="s">
        <v>160</v>
      </c>
      <c r="B194" s="12"/>
      <c r="C194" s="12">
        <v>244</v>
      </c>
      <c r="D194" s="13" t="s">
        <v>592</v>
      </c>
      <c r="E194" s="13" t="s">
        <v>80</v>
      </c>
      <c r="F194" s="13" t="s">
        <v>158</v>
      </c>
      <c r="G194" s="13" t="s">
        <v>636</v>
      </c>
      <c r="H194" s="13"/>
      <c r="I194" s="13" t="s">
        <v>599</v>
      </c>
      <c r="J194" s="732" t="s">
        <v>771</v>
      </c>
      <c r="K194" s="64"/>
      <c r="L194" s="64"/>
      <c r="M194" s="64"/>
      <c r="N194" s="12"/>
      <c r="O194" s="7"/>
    </row>
    <row r="195" spans="1:15" ht="25.5" x14ac:dyDescent="0.25">
      <c r="A195" s="193" t="s">
        <v>160</v>
      </c>
      <c r="B195" s="12"/>
      <c r="C195" s="12">
        <v>244</v>
      </c>
      <c r="D195" s="13" t="s">
        <v>423</v>
      </c>
      <c r="E195" s="13" t="s">
        <v>125</v>
      </c>
      <c r="F195" s="13" t="s">
        <v>158</v>
      </c>
      <c r="G195" s="13" t="s">
        <v>612</v>
      </c>
      <c r="H195" s="13"/>
      <c r="I195" s="13" t="s">
        <v>599</v>
      </c>
      <c r="J195" s="13" t="s">
        <v>606</v>
      </c>
      <c r="K195" s="64"/>
      <c r="L195" s="64"/>
      <c r="M195" s="64"/>
      <c r="N195" s="12"/>
      <c r="O195" s="7"/>
    </row>
    <row r="196" spans="1:15" ht="25.5" x14ac:dyDescent="0.25">
      <c r="A196" s="193" t="s">
        <v>162</v>
      </c>
      <c r="B196" s="12"/>
      <c r="C196" s="12">
        <v>244</v>
      </c>
      <c r="D196" s="13" t="s">
        <v>592</v>
      </c>
      <c r="E196" s="13" t="s">
        <v>80</v>
      </c>
      <c r="F196" s="13" t="s">
        <v>163</v>
      </c>
      <c r="G196" s="13" t="s">
        <v>636</v>
      </c>
      <c r="H196" s="13"/>
      <c r="I196" s="13" t="s">
        <v>599</v>
      </c>
      <c r="J196" s="732" t="s">
        <v>771</v>
      </c>
      <c r="K196" s="64">
        <f>10000+35000</f>
        <v>45000</v>
      </c>
      <c r="L196" s="64">
        <v>10000</v>
      </c>
      <c r="M196" s="64">
        <v>10000</v>
      </c>
      <c r="N196" s="12"/>
      <c r="O196" s="7"/>
    </row>
    <row r="197" spans="1:15" ht="25.5" x14ac:dyDescent="0.25">
      <c r="A197" s="193" t="s">
        <v>162</v>
      </c>
      <c r="B197" s="12"/>
      <c r="C197" s="12">
        <v>244</v>
      </c>
      <c r="D197" s="13" t="s">
        <v>423</v>
      </c>
      <c r="E197" s="13" t="s">
        <v>125</v>
      </c>
      <c r="F197" s="13" t="s">
        <v>163</v>
      </c>
      <c r="G197" s="13" t="s">
        <v>612</v>
      </c>
      <c r="H197" s="13"/>
      <c r="I197" s="13" t="s">
        <v>599</v>
      </c>
      <c r="J197" s="13" t="s">
        <v>606</v>
      </c>
      <c r="K197" s="64">
        <f>540000+80000</f>
        <v>620000</v>
      </c>
      <c r="L197" s="64">
        <v>540000</v>
      </c>
      <c r="M197" s="64">
        <v>540000</v>
      </c>
      <c r="N197" s="12"/>
      <c r="O197" s="7"/>
    </row>
    <row r="198" spans="1:15" ht="25.5" x14ac:dyDescent="0.25">
      <c r="A198" s="193" t="s">
        <v>162</v>
      </c>
      <c r="B198" s="12"/>
      <c r="C198" s="12">
        <v>244</v>
      </c>
      <c r="D198" s="13" t="s">
        <v>423</v>
      </c>
      <c r="E198" s="13" t="s">
        <v>125</v>
      </c>
      <c r="F198" s="13" t="s">
        <v>163</v>
      </c>
      <c r="G198" s="13" t="s">
        <v>612</v>
      </c>
      <c r="H198" s="13"/>
      <c r="I198" s="13" t="s">
        <v>599</v>
      </c>
      <c r="J198" s="13" t="s">
        <v>601</v>
      </c>
      <c r="K198" s="64">
        <f>300000+193685.56</f>
        <v>493685.56</v>
      </c>
      <c r="L198" s="64">
        <v>300000</v>
      </c>
      <c r="M198" s="64">
        <v>300000</v>
      </c>
      <c r="N198" s="12"/>
      <c r="O198" s="7"/>
    </row>
    <row r="199" spans="1:15" ht="25.5" x14ac:dyDescent="0.25">
      <c r="A199" s="193" t="s">
        <v>162</v>
      </c>
      <c r="B199" s="12"/>
      <c r="C199" s="12">
        <v>244</v>
      </c>
      <c r="D199" s="13" t="s">
        <v>616</v>
      </c>
      <c r="E199" s="13" t="s">
        <v>424</v>
      </c>
      <c r="F199" s="13" t="s">
        <v>163</v>
      </c>
      <c r="G199" s="13" t="s">
        <v>605</v>
      </c>
      <c r="H199" s="13"/>
      <c r="I199" s="13" t="s">
        <v>599</v>
      </c>
      <c r="J199" s="13" t="s">
        <v>615</v>
      </c>
      <c r="K199" s="64"/>
      <c r="L199" s="64"/>
      <c r="M199" s="64"/>
      <c r="N199" s="12"/>
      <c r="O199" s="7"/>
    </row>
    <row r="200" spans="1:15" ht="25.5" x14ac:dyDescent="0.25">
      <c r="A200" s="193" t="s">
        <v>162</v>
      </c>
      <c r="B200" s="12"/>
      <c r="C200" s="12">
        <v>244</v>
      </c>
      <c r="D200" s="13" t="s">
        <v>616</v>
      </c>
      <c r="E200" s="13" t="s">
        <v>424</v>
      </c>
      <c r="F200" s="13" t="s">
        <v>163</v>
      </c>
      <c r="G200" s="13" t="s">
        <v>605</v>
      </c>
      <c r="H200" s="13"/>
      <c r="I200" s="13" t="s">
        <v>599</v>
      </c>
      <c r="J200" s="13" t="s">
        <v>617</v>
      </c>
      <c r="K200" s="64"/>
      <c r="L200" s="64"/>
      <c r="M200" s="64"/>
      <c r="N200" s="12"/>
      <c r="O200" s="7"/>
    </row>
    <row r="201" spans="1:15" x14ac:dyDescent="0.25">
      <c r="A201" s="193"/>
      <c r="B201" s="12"/>
      <c r="C201" s="12"/>
      <c r="D201" s="13"/>
      <c r="E201" s="13"/>
      <c r="F201" s="13"/>
      <c r="G201" s="13"/>
      <c r="H201" s="13"/>
      <c r="I201" s="13"/>
      <c r="J201" s="13"/>
      <c r="K201" s="64"/>
      <c r="L201" s="64"/>
      <c r="M201" s="64"/>
      <c r="N201" s="12"/>
      <c r="O201" s="7"/>
    </row>
    <row r="202" spans="1:15" ht="25.5" x14ac:dyDescent="0.25">
      <c r="A202" s="193" t="s">
        <v>171</v>
      </c>
      <c r="B202" s="12"/>
      <c r="C202" s="12">
        <v>244</v>
      </c>
      <c r="D202" s="13" t="s">
        <v>592</v>
      </c>
      <c r="E202" s="13" t="s">
        <v>80</v>
      </c>
      <c r="F202" s="13" t="s">
        <v>164</v>
      </c>
      <c r="G202" s="13" t="s">
        <v>636</v>
      </c>
      <c r="H202" s="13"/>
      <c r="I202" s="13"/>
      <c r="J202" s="13"/>
      <c r="K202" s="64"/>
      <c r="L202" s="64"/>
      <c r="M202" s="64"/>
      <c r="N202" s="12"/>
      <c r="O202" s="7"/>
    </row>
    <row r="203" spans="1:15" ht="25.5" x14ac:dyDescent="0.25">
      <c r="A203" s="193" t="s">
        <v>172</v>
      </c>
      <c r="B203" s="12"/>
      <c r="C203" s="12">
        <v>244</v>
      </c>
      <c r="D203" s="13" t="s">
        <v>592</v>
      </c>
      <c r="E203" s="13"/>
      <c r="F203" s="13" t="s">
        <v>165</v>
      </c>
      <c r="G203" s="13" t="s">
        <v>636</v>
      </c>
      <c r="H203" s="13"/>
      <c r="I203" s="13"/>
      <c r="J203" s="13"/>
      <c r="K203" s="64">
        <f>SUM(K205:K221)</f>
        <v>5432847.5999999996</v>
      </c>
      <c r="L203" s="64">
        <f t="shared" ref="L203:M203" si="9">SUM(L205:L221)</f>
        <v>5425601.5</v>
      </c>
      <c r="M203" s="64">
        <f t="shared" si="9"/>
        <v>5556457.1600000001</v>
      </c>
      <c r="N203" s="64">
        <f>SUM(N205:N221)</f>
        <v>0</v>
      </c>
      <c r="O203" s="7"/>
    </row>
    <row r="204" spans="1:15" x14ac:dyDescent="0.25">
      <c r="A204" s="193" t="s">
        <v>23</v>
      </c>
      <c r="B204" s="12"/>
      <c r="C204" s="12"/>
      <c r="D204" s="13" t="s">
        <v>79</v>
      </c>
      <c r="E204" s="13"/>
      <c r="F204" s="13"/>
      <c r="G204" s="13"/>
      <c r="H204" s="13"/>
      <c r="I204" s="13"/>
      <c r="J204" s="13"/>
      <c r="K204" s="64"/>
      <c r="L204" s="64"/>
      <c r="M204" s="64"/>
      <c r="N204" s="12"/>
      <c r="O204" s="7"/>
    </row>
    <row r="205" spans="1:15" ht="25.5" x14ac:dyDescent="0.25">
      <c r="A205" s="193" t="s">
        <v>173</v>
      </c>
      <c r="B205" s="12"/>
      <c r="C205" s="12">
        <v>244</v>
      </c>
      <c r="D205" s="13" t="s">
        <v>592</v>
      </c>
      <c r="E205" s="13" t="s">
        <v>80</v>
      </c>
      <c r="F205" s="13" t="s">
        <v>166</v>
      </c>
      <c r="G205" s="13" t="s">
        <v>636</v>
      </c>
      <c r="H205" s="13"/>
      <c r="I205" s="13" t="s">
        <v>599</v>
      </c>
      <c r="J205" s="732" t="s">
        <v>771</v>
      </c>
      <c r="K205" s="64"/>
      <c r="L205" s="64"/>
      <c r="M205" s="64"/>
      <c r="N205" s="12"/>
      <c r="O205" s="7"/>
    </row>
    <row r="206" spans="1:15" ht="25.5" x14ac:dyDescent="0.25">
      <c r="A206" s="193" t="s">
        <v>173</v>
      </c>
      <c r="B206" s="12"/>
      <c r="C206" s="12">
        <v>244</v>
      </c>
      <c r="D206" s="13" t="s">
        <v>423</v>
      </c>
      <c r="E206" s="13" t="s">
        <v>125</v>
      </c>
      <c r="F206" s="13" t="s">
        <v>166</v>
      </c>
      <c r="G206" s="13" t="s">
        <v>612</v>
      </c>
      <c r="H206" s="13"/>
      <c r="I206" s="13" t="s">
        <v>599</v>
      </c>
      <c r="J206" s="13" t="s">
        <v>606</v>
      </c>
      <c r="K206" s="64"/>
      <c r="L206" s="64"/>
      <c r="M206" s="64"/>
      <c r="N206" s="12"/>
      <c r="O206" s="7"/>
    </row>
    <row r="207" spans="1:15" ht="25.5" x14ac:dyDescent="0.25">
      <c r="A207" s="193" t="s">
        <v>174</v>
      </c>
      <c r="B207" s="12"/>
      <c r="C207" s="12">
        <v>244</v>
      </c>
      <c r="D207" s="13" t="s">
        <v>592</v>
      </c>
      <c r="E207" s="13" t="s">
        <v>80</v>
      </c>
      <c r="F207" s="13" t="s">
        <v>167</v>
      </c>
      <c r="G207" s="13" t="s">
        <v>636</v>
      </c>
      <c r="H207" s="13"/>
      <c r="I207" s="13" t="s">
        <v>599</v>
      </c>
      <c r="J207" s="732" t="s">
        <v>771</v>
      </c>
      <c r="K207" s="64">
        <v>3068847.6</v>
      </c>
      <c r="L207" s="64">
        <v>3191601.5</v>
      </c>
      <c r="M207" s="64">
        <v>3322457.16</v>
      </c>
      <c r="N207" s="12"/>
      <c r="O207" s="7"/>
    </row>
    <row r="208" spans="1:15" ht="25.5" x14ac:dyDescent="0.25">
      <c r="A208" s="193" t="s">
        <v>174</v>
      </c>
      <c r="B208" s="12"/>
      <c r="C208" s="12">
        <v>244</v>
      </c>
      <c r="D208" s="13" t="s">
        <v>423</v>
      </c>
      <c r="E208" s="13" t="s">
        <v>125</v>
      </c>
      <c r="F208" s="13" t="s">
        <v>167</v>
      </c>
      <c r="G208" s="13" t="s">
        <v>612</v>
      </c>
      <c r="H208" s="13"/>
      <c r="I208" s="13" t="s">
        <v>599</v>
      </c>
      <c r="J208" s="13" t="s">
        <v>606</v>
      </c>
      <c r="K208" s="64">
        <v>1000000</v>
      </c>
      <c r="L208" s="64">
        <v>1000000</v>
      </c>
      <c r="M208" s="64">
        <v>1000000</v>
      </c>
      <c r="N208" s="12"/>
      <c r="O208" s="7"/>
    </row>
    <row r="209" spans="1:15" ht="25.5" x14ac:dyDescent="0.25">
      <c r="A209" s="193" t="s">
        <v>174</v>
      </c>
      <c r="B209" s="12"/>
      <c r="C209" s="12">
        <v>244</v>
      </c>
      <c r="D209" s="13" t="s">
        <v>426</v>
      </c>
      <c r="E209" s="13" t="s">
        <v>424</v>
      </c>
      <c r="F209" s="13" t="s">
        <v>167</v>
      </c>
      <c r="G209" s="13" t="s">
        <v>635</v>
      </c>
      <c r="H209" s="13"/>
      <c r="I209" s="13" t="s">
        <v>614</v>
      </c>
      <c r="J209" s="13" t="s">
        <v>601</v>
      </c>
      <c r="K209" s="64"/>
      <c r="L209" s="64"/>
      <c r="M209" s="64"/>
      <c r="N209" s="12"/>
      <c r="O209" s="7"/>
    </row>
    <row r="210" spans="1:15" ht="25.5" x14ac:dyDescent="0.25">
      <c r="A210" s="193" t="s">
        <v>175</v>
      </c>
      <c r="B210" s="12"/>
      <c r="C210" s="12">
        <v>244</v>
      </c>
      <c r="D210" s="13" t="s">
        <v>592</v>
      </c>
      <c r="E210" s="13" t="s">
        <v>80</v>
      </c>
      <c r="F210" s="13" t="s">
        <v>168</v>
      </c>
      <c r="G210" s="13" t="s">
        <v>636</v>
      </c>
      <c r="H210" s="13"/>
      <c r="I210" s="13" t="s">
        <v>599</v>
      </c>
      <c r="J210" s="732" t="s">
        <v>771</v>
      </c>
      <c r="K210" s="64"/>
      <c r="L210" s="64"/>
      <c r="M210" s="64"/>
      <c r="N210" s="12"/>
      <c r="O210" s="7"/>
    </row>
    <row r="211" spans="1:15" ht="25.5" x14ac:dyDescent="0.25">
      <c r="A211" s="193" t="s">
        <v>176</v>
      </c>
      <c r="B211" s="12"/>
      <c r="C211" s="12">
        <v>244</v>
      </c>
      <c r="D211" s="13" t="s">
        <v>592</v>
      </c>
      <c r="E211" s="13" t="s">
        <v>80</v>
      </c>
      <c r="F211" s="13" t="s">
        <v>169</v>
      </c>
      <c r="G211" s="13" t="s">
        <v>636</v>
      </c>
      <c r="H211" s="13"/>
      <c r="I211" s="13" t="s">
        <v>599</v>
      </c>
      <c r="J211" s="732" t="s">
        <v>771</v>
      </c>
      <c r="K211" s="64">
        <v>100000</v>
      </c>
      <c r="L211" s="64">
        <v>100000</v>
      </c>
      <c r="M211" s="64">
        <v>100000</v>
      </c>
      <c r="N211" s="12"/>
      <c r="O211" s="7"/>
    </row>
    <row r="212" spans="1:15" ht="25.5" x14ac:dyDescent="0.25">
      <c r="A212" s="193" t="s">
        <v>176</v>
      </c>
      <c r="B212" s="12"/>
      <c r="C212" s="12">
        <v>244</v>
      </c>
      <c r="D212" s="13" t="s">
        <v>423</v>
      </c>
      <c r="E212" s="13" t="s">
        <v>125</v>
      </c>
      <c r="F212" s="13" t="s">
        <v>169</v>
      </c>
      <c r="G212" s="13" t="s">
        <v>612</v>
      </c>
      <c r="H212" s="13"/>
      <c r="I212" s="13" t="s">
        <v>599</v>
      </c>
      <c r="J212" s="13" t="s">
        <v>606</v>
      </c>
      <c r="K212" s="64">
        <f>64000+80000</f>
        <v>144000</v>
      </c>
      <c r="L212" s="64">
        <v>64000</v>
      </c>
      <c r="M212" s="64">
        <v>64000</v>
      </c>
      <c r="N212" s="12"/>
      <c r="O212" s="7"/>
    </row>
    <row r="213" spans="1:15" ht="25.5" x14ac:dyDescent="0.25">
      <c r="A213" s="193" t="s">
        <v>177</v>
      </c>
      <c r="B213" s="12"/>
      <c r="C213" s="12">
        <v>244</v>
      </c>
      <c r="D213" s="13" t="s">
        <v>592</v>
      </c>
      <c r="E213" s="13" t="s">
        <v>80</v>
      </c>
      <c r="F213" s="13" t="s">
        <v>170</v>
      </c>
      <c r="G213" s="13" t="s">
        <v>636</v>
      </c>
      <c r="H213" s="13"/>
      <c r="I213" s="13" t="s">
        <v>599</v>
      </c>
      <c r="J213" s="732" t="s">
        <v>771</v>
      </c>
      <c r="K213" s="64"/>
      <c r="L213" s="64"/>
      <c r="M213" s="64"/>
      <c r="N213" s="12"/>
      <c r="O213" s="7"/>
    </row>
    <row r="214" spans="1:15" ht="25.5" x14ac:dyDescent="0.25">
      <c r="A214" s="193" t="s">
        <v>177</v>
      </c>
      <c r="B214" s="12"/>
      <c r="C214" s="12">
        <v>244</v>
      </c>
      <c r="D214" s="13" t="s">
        <v>423</v>
      </c>
      <c r="E214" s="13" t="s">
        <v>125</v>
      </c>
      <c r="F214" s="13" t="s">
        <v>170</v>
      </c>
      <c r="G214" s="13" t="s">
        <v>612</v>
      </c>
      <c r="H214" s="13"/>
      <c r="I214" s="13" t="s">
        <v>599</v>
      </c>
      <c r="J214" s="13" t="s">
        <v>606</v>
      </c>
      <c r="K214" s="64">
        <v>180000</v>
      </c>
      <c r="L214" s="64">
        <v>180000</v>
      </c>
      <c r="M214" s="64">
        <v>180000</v>
      </c>
      <c r="N214" s="12"/>
      <c r="O214" s="7"/>
    </row>
    <row r="215" spans="1:15" ht="25.5" x14ac:dyDescent="0.25">
      <c r="A215" s="193" t="s">
        <v>178</v>
      </c>
      <c r="B215" s="12"/>
      <c r="C215" s="12">
        <v>244</v>
      </c>
      <c r="D215" s="13" t="s">
        <v>592</v>
      </c>
      <c r="E215" s="13" t="s">
        <v>80</v>
      </c>
      <c r="F215" s="13" t="s">
        <v>179</v>
      </c>
      <c r="G215" s="13" t="s">
        <v>636</v>
      </c>
      <c r="H215" s="13"/>
      <c r="I215" s="13" t="s">
        <v>599</v>
      </c>
      <c r="J215" s="732" t="s">
        <v>771</v>
      </c>
      <c r="K215" s="64">
        <v>50000</v>
      </c>
      <c r="L215" s="64">
        <v>50000</v>
      </c>
      <c r="M215" s="64">
        <v>50000</v>
      </c>
      <c r="N215" s="12"/>
      <c r="O215" s="7"/>
    </row>
    <row r="216" spans="1:15" ht="25.5" x14ac:dyDescent="0.25">
      <c r="A216" s="193" t="s">
        <v>178</v>
      </c>
      <c r="B216" s="12"/>
      <c r="C216" s="12">
        <v>244</v>
      </c>
      <c r="D216" s="13" t="s">
        <v>423</v>
      </c>
      <c r="E216" s="13" t="s">
        <v>125</v>
      </c>
      <c r="F216" s="13" t="s">
        <v>179</v>
      </c>
      <c r="G216" s="13" t="s">
        <v>612</v>
      </c>
      <c r="H216" s="13"/>
      <c r="I216" s="13" t="s">
        <v>599</v>
      </c>
      <c r="J216" s="13" t="s">
        <v>606</v>
      </c>
      <c r="K216" s="64">
        <v>720000</v>
      </c>
      <c r="L216" s="64">
        <v>720000</v>
      </c>
      <c r="M216" s="64">
        <v>720000</v>
      </c>
      <c r="N216" s="12"/>
      <c r="O216" s="7"/>
    </row>
    <row r="217" spans="1:15" ht="25.5" x14ac:dyDescent="0.25">
      <c r="A217" s="193" t="s">
        <v>178</v>
      </c>
      <c r="B217" s="12"/>
      <c r="C217" s="12">
        <v>244</v>
      </c>
      <c r="D217" s="13" t="s">
        <v>423</v>
      </c>
      <c r="E217" s="13" t="s">
        <v>125</v>
      </c>
      <c r="F217" s="13" t="s">
        <v>179</v>
      </c>
      <c r="G217" s="13" t="s">
        <v>612</v>
      </c>
      <c r="H217" s="13"/>
      <c r="I217" s="13" t="s">
        <v>599</v>
      </c>
      <c r="J217" s="13" t="s">
        <v>601</v>
      </c>
      <c r="K217" s="64">
        <f>120000+50000</f>
        <v>170000</v>
      </c>
      <c r="L217" s="64">
        <v>120000</v>
      </c>
      <c r="M217" s="64">
        <v>120000</v>
      </c>
      <c r="N217" s="12"/>
      <c r="O217" s="7"/>
    </row>
    <row r="218" spans="1:15" ht="44.25" customHeight="1" x14ac:dyDescent="0.25">
      <c r="A218" s="193" t="s">
        <v>435</v>
      </c>
      <c r="B218" s="12"/>
      <c r="C218" s="12">
        <v>244</v>
      </c>
      <c r="D218" s="13" t="s">
        <v>592</v>
      </c>
      <c r="E218" s="13" t="s">
        <v>80</v>
      </c>
      <c r="F218" s="13" t="s">
        <v>180</v>
      </c>
      <c r="G218" s="13" t="s">
        <v>636</v>
      </c>
      <c r="H218" s="13"/>
      <c r="I218" s="13" t="s">
        <v>599</v>
      </c>
      <c r="J218" s="732" t="s">
        <v>771</v>
      </c>
      <c r="K218" s="64"/>
      <c r="L218" s="64"/>
      <c r="M218" s="64"/>
      <c r="N218" s="12"/>
      <c r="O218" s="7"/>
    </row>
    <row r="219" spans="1:15" ht="44.25" customHeight="1" x14ac:dyDescent="0.25">
      <c r="A219" s="193" t="s">
        <v>435</v>
      </c>
      <c r="B219" s="12"/>
      <c r="C219" s="12">
        <v>244</v>
      </c>
      <c r="D219" s="13" t="s">
        <v>423</v>
      </c>
      <c r="E219" s="13" t="s">
        <v>125</v>
      </c>
      <c r="F219" s="13" t="s">
        <v>180</v>
      </c>
      <c r="G219" s="13" t="s">
        <v>612</v>
      </c>
      <c r="H219" s="13"/>
      <c r="I219" s="13" t="s">
        <v>599</v>
      </c>
      <c r="J219" s="13" t="s">
        <v>606</v>
      </c>
      <c r="K219" s="64"/>
      <c r="L219" s="64"/>
      <c r="M219" s="64"/>
      <c r="N219" s="12"/>
      <c r="O219" s="7"/>
    </row>
    <row r="220" spans="1:15" ht="44.25" customHeight="1" x14ac:dyDescent="0.25">
      <c r="A220" s="193" t="s">
        <v>435</v>
      </c>
      <c r="B220" s="12"/>
      <c r="C220" s="12">
        <v>244</v>
      </c>
      <c r="D220" s="13" t="s">
        <v>423</v>
      </c>
      <c r="E220" s="13" t="s">
        <v>125</v>
      </c>
      <c r="F220" s="13" t="s">
        <v>180</v>
      </c>
      <c r="G220" s="13" t="s">
        <v>612</v>
      </c>
      <c r="H220" s="13"/>
      <c r="I220" s="13" t="s">
        <v>599</v>
      </c>
      <c r="J220" s="13" t="s">
        <v>601</v>
      </c>
      <c r="K220" s="64"/>
      <c r="L220" s="64"/>
      <c r="M220" s="64"/>
      <c r="N220" s="12"/>
      <c r="O220" s="7"/>
    </row>
    <row r="221" spans="1:15" ht="40.5" customHeight="1" x14ac:dyDescent="0.25">
      <c r="A221" s="193" t="s">
        <v>435</v>
      </c>
      <c r="B221" s="12"/>
      <c r="C221" s="12">
        <v>244</v>
      </c>
      <c r="D221" s="13" t="s">
        <v>432</v>
      </c>
      <c r="E221" s="13" t="s">
        <v>424</v>
      </c>
      <c r="F221" s="13" t="s">
        <v>180</v>
      </c>
      <c r="G221" s="13" t="s">
        <v>436</v>
      </c>
      <c r="H221" s="13"/>
      <c r="I221" s="13"/>
      <c r="J221" s="13"/>
      <c r="K221" s="64"/>
      <c r="L221" s="64"/>
      <c r="M221" s="64"/>
      <c r="N221" s="12"/>
    </row>
    <row r="222" spans="1:15" x14ac:dyDescent="0.25">
      <c r="A222" s="193" t="s">
        <v>145</v>
      </c>
      <c r="B222" s="12"/>
      <c r="C222" s="12">
        <v>247</v>
      </c>
      <c r="D222" s="13"/>
      <c r="E222" s="13"/>
      <c r="F222" s="13" t="s">
        <v>146</v>
      </c>
      <c r="G222" s="13"/>
      <c r="H222" s="13"/>
      <c r="I222" s="13"/>
      <c r="J222" s="13"/>
      <c r="K222" s="64">
        <f>SUM(K224:K229)</f>
        <v>1956082.58</v>
      </c>
      <c r="L222" s="64">
        <f t="shared" ref="L222:M222" si="10">SUM(L224:L229)</f>
        <v>1912486.85</v>
      </c>
      <c r="M222" s="64">
        <f t="shared" si="10"/>
        <v>1924552.49</v>
      </c>
      <c r="N222" s="12"/>
    </row>
    <row r="223" spans="1:15" x14ac:dyDescent="0.25">
      <c r="A223" s="193" t="s">
        <v>23</v>
      </c>
      <c r="B223" s="12"/>
      <c r="C223" s="12"/>
      <c r="D223" s="13"/>
      <c r="E223" s="13"/>
      <c r="F223" s="13"/>
      <c r="G223" s="13"/>
      <c r="H223" s="13"/>
      <c r="I223" s="13"/>
      <c r="J223" s="13"/>
      <c r="K223" s="64"/>
      <c r="L223" s="64"/>
      <c r="M223" s="64"/>
      <c r="N223" s="12"/>
    </row>
    <row r="224" spans="1:15" x14ac:dyDescent="0.25">
      <c r="A224" s="193" t="s">
        <v>637</v>
      </c>
      <c r="B224" s="12"/>
      <c r="C224" s="12">
        <v>247</v>
      </c>
      <c r="D224" s="13" t="s">
        <v>592</v>
      </c>
      <c r="E224" s="13" t="s">
        <v>80</v>
      </c>
      <c r="F224" s="13" t="s">
        <v>146</v>
      </c>
      <c r="G224" s="13" t="s">
        <v>638</v>
      </c>
      <c r="H224" s="13"/>
      <c r="I224" s="13" t="s">
        <v>599</v>
      </c>
      <c r="J224" s="732" t="s">
        <v>771</v>
      </c>
      <c r="K224" s="64">
        <v>203667.4</v>
      </c>
      <c r="L224" s="64">
        <v>211814.1</v>
      </c>
      <c r="M224" s="64">
        <v>220498.48</v>
      </c>
      <c r="N224" s="12"/>
      <c r="O224" s="773"/>
    </row>
    <row r="225" spans="1:15" x14ac:dyDescent="0.25">
      <c r="A225" s="193" t="s">
        <v>637</v>
      </c>
      <c r="B225" s="12"/>
      <c r="C225" s="12">
        <v>247</v>
      </c>
      <c r="D225" s="13" t="s">
        <v>423</v>
      </c>
      <c r="E225" s="13" t="s">
        <v>125</v>
      </c>
      <c r="F225" s="13" t="s">
        <v>146</v>
      </c>
      <c r="G225" s="13" t="s">
        <v>612</v>
      </c>
      <c r="H225" s="13"/>
      <c r="I225" s="13" t="s">
        <v>599</v>
      </c>
      <c r="J225" s="13" t="s">
        <v>606</v>
      </c>
      <c r="K225" s="717">
        <f>1385104-19266.65</f>
        <v>1365837.35</v>
      </c>
      <c r="L225" s="64">
        <f>1385104</f>
        <v>1385104</v>
      </c>
      <c r="M225" s="64">
        <v>1385104</v>
      </c>
      <c r="N225" s="12"/>
      <c r="O225" s="773"/>
    </row>
    <row r="226" spans="1:15" x14ac:dyDescent="0.25">
      <c r="A226" s="193" t="s">
        <v>639</v>
      </c>
      <c r="B226" s="12"/>
      <c r="C226" s="12">
        <v>247</v>
      </c>
      <c r="D226" s="13" t="s">
        <v>592</v>
      </c>
      <c r="E226" s="13" t="s">
        <v>80</v>
      </c>
      <c r="F226" s="13" t="s">
        <v>146</v>
      </c>
      <c r="G226" s="13" t="s">
        <v>638</v>
      </c>
      <c r="H226" s="13"/>
      <c r="I226" s="13" t="s">
        <v>599</v>
      </c>
      <c r="J226" s="732" t="s">
        <v>771</v>
      </c>
      <c r="K226" s="64">
        <v>0</v>
      </c>
      <c r="L226" s="64">
        <v>0</v>
      </c>
      <c r="M226" s="64">
        <v>0</v>
      </c>
      <c r="N226" s="12"/>
      <c r="O226" s="773"/>
    </row>
    <row r="227" spans="1:15" x14ac:dyDescent="0.25">
      <c r="A227" s="193" t="s">
        <v>639</v>
      </c>
      <c r="B227" s="12"/>
      <c r="C227" s="12">
        <v>247</v>
      </c>
      <c r="D227" s="13" t="s">
        <v>423</v>
      </c>
      <c r="E227" s="13" t="s">
        <v>125</v>
      </c>
      <c r="F227" s="13" t="s">
        <v>146</v>
      </c>
      <c r="G227" s="13" t="s">
        <v>612</v>
      </c>
      <c r="H227" s="13"/>
      <c r="I227" s="13" t="s">
        <v>599</v>
      </c>
      <c r="J227" s="13" t="s">
        <v>606</v>
      </c>
      <c r="K227" s="64">
        <v>0</v>
      </c>
      <c r="L227" s="64">
        <v>0</v>
      </c>
      <c r="M227" s="64">
        <v>0</v>
      </c>
      <c r="N227" s="12"/>
      <c r="O227" s="773"/>
    </row>
    <row r="228" spans="1:15" x14ac:dyDescent="0.25">
      <c r="A228" s="193" t="s">
        <v>640</v>
      </c>
      <c r="B228" s="12"/>
      <c r="C228" s="12">
        <v>247</v>
      </c>
      <c r="D228" s="13" t="s">
        <v>592</v>
      </c>
      <c r="E228" s="13" t="s">
        <v>80</v>
      </c>
      <c r="F228" s="13" t="s">
        <v>146</v>
      </c>
      <c r="G228" s="13" t="s">
        <v>638</v>
      </c>
      <c r="H228" s="13"/>
      <c r="I228" s="13" t="s">
        <v>599</v>
      </c>
      <c r="J228" s="732" t="s">
        <v>771</v>
      </c>
      <c r="K228" s="64">
        <v>79297.84</v>
      </c>
      <c r="L228" s="64">
        <v>82469.75</v>
      </c>
      <c r="M228" s="64">
        <v>85851.01</v>
      </c>
      <c r="N228" s="12"/>
      <c r="O228" s="773"/>
    </row>
    <row r="229" spans="1:15" x14ac:dyDescent="0.25">
      <c r="A229" s="193" t="s">
        <v>640</v>
      </c>
      <c r="B229" s="12"/>
      <c r="C229" s="12">
        <v>247</v>
      </c>
      <c r="D229" s="13" t="s">
        <v>423</v>
      </c>
      <c r="E229" s="13" t="s">
        <v>125</v>
      </c>
      <c r="F229" s="13" t="s">
        <v>146</v>
      </c>
      <c r="G229" s="13" t="s">
        <v>612</v>
      </c>
      <c r="H229" s="13"/>
      <c r="I229" s="13" t="s">
        <v>599</v>
      </c>
      <c r="J229" s="13" t="s">
        <v>606</v>
      </c>
      <c r="K229" s="64">
        <f>233099+74180.99</f>
        <v>307279.99</v>
      </c>
      <c r="L229" s="64">
        <v>233099</v>
      </c>
      <c r="M229" s="64">
        <v>233099</v>
      </c>
      <c r="N229" s="12"/>
      <c r="O229" s="773"/>
    </row>
    <row r="230" spans="1:15" ht="25.5" x14ac:dyDescent="0.25">
      <c r="A230" s="16" t="s">
        <v>67</v>
      </c>
      <c r="B230" s="12">
        <v>2650</v>
      </c>
      <c r="C230" s="12">
        <v>400</v>
      </c>
      <c r="D230" s="13"/>
      <c r="E230" s="13"/>
      <c r="F230" s="13"/>
      <c r="G230" s="13"/>
      <c r="H230" s="13"/>
      <c r="I230" s="13"/>
      <c r="J230" s="13"/>
      <c r="K230" s="64"/>
      <c r="L230" s="64"/>
      <c r="M230" s="64"/>
      <c r="N230" s="12"/>
      <c r="O230" s="7"/>
    </row>
    <row r="231" spans="1:15" x14ac:dyDescent="0.25">
      <c r="A231" s="193" t="s">
        <v>23</v>
      </c>
      <c r="B231" s="709"/>
      <c r="C231" s="761"/>
      <c r="D231" s="761"/>
      <c r="E231" s="761"/>
      <c r="F231" s="761"/>
      <c r="G231" s="761"/>
      <c r="H231" s="761"/>
      <c r="I231" s="761"/>
      <c r="J231" s="761"/>
      <c r="K231" s="761"/>
      <c r="L231" s="761"/>
      <c r="M231" s="761"/>
      <c r="N231" s="711"/>
      <c r="O231" s="7"/>
    </row>
    <row r="232" spans="1:15" ht="38.25" x14ac:dyDescent="0.25">
      <c r="A232" s="193" t="s">
        <v>68</v>
      </c>
      <c r="B232" s="12">
        <v>2651</v>
      </c>
      <c r="C232" s="12">
        <v>406</v>
      </c>
      <c r="D232" s="13"/>
      <c r="E232" s="13"/>
      <c r="F232" s="13"/>
      <c r="G232" s="13"/>
      <c r="H232" s="13"/>
      <c r="I232" s="13"/>
      <c r="J232" s="13"/>
      <c r="K232" s="64"/>
      <c r="L232" s="64"/>
      <c r="M232" s="64"/>
      <c r="N232" s="721"/>
      <c r="O232" s="7"/>
    </row>
    <row r="233" spans="1:15" ht="38.25" x14ac:dyDescent="0.25">
      <c r="A233" s="193" t="s">
        <v>69</v>
      </c>
      <c r="B233" s="12">
        <v>2652</v>
      </c>
      <c r="C233" s="12">
        <v>407</v>
      </c>
      <c r="D233" s="13"/>
      <c r="E233" s="13"/>
      <c r="F233" s="13"/>
      <c r="G233" s="13"/>
      <c r="H233" s="13"/>
      <c r="I233" s="13"/>
      <c r="J233" s="13"/>
      <c r="K233" s="64"/>
      <c r="L233" s="64"/>
      <c r="M233" s="64"/>
      <c r="N233" s="12"/>
      <c r="O233" s="7"/>
    </row>
    <row r="234" spans="1:15" x14ac:dyDescent="0.25">
      <c r="A234" s="721" t="s">
        <v>70</v>
      </c>
      <c r="B234" s="12">
        <v>3000</v>
      </c>
      <c r="C234" s="12">
        <v>100</v>
      </c>
      <c r="D234" s="13"/>
      <c r="E234" s="13"/>
      <c r="F234" s="13"/>
      <c r="G234" s="13"/>
      <c r="H234" s="13"/>
      <c r="I234" s="13"/>
      <c r="J234" s="13"/>
      <c r="K234" s="64">
        <f>K236+K237+K238</f>
        <v>-115808</v>
      </c>
      <c r="L234" s="64"/>
      <c r="M234" s="64"/>
      <c r="N234" s="12" t="s">
        <v>19</v>
      </c>
      <c r="O234" s="7"/>
    </row>
    <row r="235" spans="1:15" x14ac:dyDescent="0.25">
      <c r="A235" s="16" t="s">
        <v>23</v>
      </c>
      <c r="B235" s="12"/>
      <c r="C235" s="709"/>
      <c r="D235" s="761"/>
      <c r="E235" s="761"/>
      <c r="F235" s="761"/>
      <c r="G235" s="761"/>
      <c r="H235" s="761"/>
      <c r="I235" s="761"/>
      <c r="J235" s="761"/>
      <c r="K235" s="761"/>
      <c r="L235" s="761"/>
      <c r="M235" s="761"/>
      <c r="N235" s="711"/>
      <c r="O235" s="7"/>
    </row>
    <row r="236" spans="1:15" x14ac:dyDescent="0.25">
      <c r="A236" s="16" t="s">
        <v>71</v>
      </c>
      <c r="B236" s="12">
        <v>3010</v>
      </c>
      <c r="C236" s="12"/>
      <c r="D236" s="13"/>
      <c r="E236" s="13"/>
      <c r="F236" s="13"/>
      <c r="G236" s="13"/>
      <c r="H236" s="13"/>
      <c r="I236" s="13"/>
      <c r="J236" s="13"/>
      <c r="K236" s="64"/>
      <c r="L236" s="64"/>
      <c r="M236" s="64"/>
      <c r="N236" s="12" t="s">
        <v>19</v>
      </c>
      <c r="O236" s="7"/>
    </row>
    <row r="237" spans="1:15" x14ac:dyDescent="0.25">
      <c r="A237" s="16" t="s">
        <v>72</v>
      </c>
      <c r="B237" s="12">
        <v>3020</v>
      </c>
      <c r="C237" s="12"/>
      <c r="D237" s="13"/>
      <c r="E237" s="13"/>
      <c r="F237" s="13"/>
      <c r="G237" s="13"/>
      <c r="H237" s="13"/>
      <c r="I237" s="13"/>
      <c r="J237" s="13"/>
      <c r="K237" s="64"/>
      <c r="L237" s="64"/>
      <c r="M237" s="64"/>
      <c r="N237" s="12" t="s">
        <v>19</v>
      </c>
      <c r="O237" s="7"/>
    </row>
    <row r="238" spans="1:15" ht="25.5" x14ac:dyDescent="0.25">
      <c r="A238" s="16" t="s">
        <v>73</v>
      </c>
      <c r="B238" s="12">
        <v>3030</v>
      </c>
      <c r="C238" s="12"/>
      <c r="D238" s="13"/>
      <c r="E238" s="13" t="s">
        <v>80</v>
      </c>
      <c r="F238" s="13"/>
      <c r="G238" s="13"/>
      <c r="H238" s="13"/>
      <c r="I238" s="13" t="s">
        <v>599</v>
      </c>
      <c r="J238" s="732" t="s">
        <v>771</v>
      </c>
      <c r="K238" s="64">
        <v>-115808</v>
      </c>
      <c r="L238" s="64"/>
      <c r="M238" s="64"/>
      <c r="N238" s="12" t="s">
        <v>19</v>
      </c>
      <c r="O238" s="7"/>
    </row>
    <row r="239" spans="1:15" x14ac:dyDescent="0.25">
      <c r="A239" s="721" t="s">
        <v>74</v>
      </c>
      <c r="B239" s="12">
        <v>4000</v>
      </c>
      <c r="C239" s="12" t="s">
        <v>19</v>
      </c>
      <c r="D239" s="13"/>
      <c r="E239" s="13"/>
      <c r="F239" s="13"/>
      <c r="G239" s="13"/>
      <c r="H239" s="13"/>
      <c r="I239" s="13"/>
      <c r="J239" s="13"/>
      <c r="K239" s="64">
        <f>K240</f>
        <v>0</v>
      </c>
      <c r="L239" s="64"/>
      <c r="M239" s="64"/>
      <c r="N239" s="12" t="s">
        <v>19</v>
      </c>
      <c r="O239" s="7"/>
    </row>
    <row r="240" spans="1:15" x14ac:dyDescent="0.25">
      <c r="A240" s="16" t="s">
        <v>35</v>
      </c>
      <c r="B240" s="705">
        <v>4010</v>
      </c>
      <c r="C240" s="705">
        <v>610</v>
      </c>
      <c r="D240" s="13"/>
      <c r="E240" s="13"/>
      <c r="F240" s="13"/>
      <c r="G240" s="13"/>
      <c r="H240" s="13"/>
      <c r="I240" s="13"/>
      <c r="J240" s="13"/>
      <c r="K240" s="774"/>
      <c r="L240" s="774"/>
      <c r="M240" s="774"/>
      <c r="N240" s="705" t="s">
        <v>19</v>
      </c>
      <c r="O240" s="7"/>
    </row>
    <row r="241" spans="1:15" x14ac:dyDescent="0.25">
      <c r="A241" s="16" t="s">
        <v>75</v>
      </c>
      <c r="B241" s="705"/>
      <c r="C241" s="705"/>
      <c r="D241" s="13"/>
      <c r="E241" s="13"/>
      <c r="F241" s="13"/>
      <c r="G241" s="13"/>
      <c r="H241" s="13"/>
      <c r="I241" s="13"/>
      <c r="J241" s="13"/>
      <c r="K241" s="774"/>
      <c r="L241" s="774"/>
      <c r="M241" s="774"/>
      <c r="N241" s="705"/>
      <c r="O241" s="7"/>
    </row>
    <row r="242" spans="1:15" x14ac:dyDescent="0.25">
      <c r="A242" s="775" t="s">
        <v>181</v>
      </c>
      <c r="B242" s="775"/>
      <c r="C242" s="775"/>
      <c r="D242" s="775"/>
      <c r="E242" s="775"/>
      <c r="F242" s="775"/>
      <c r="G242" s="775"/>
      <c r="H242" s="775"/>
      <c r="I242" s="775"/>
      <c r="J242" s="775"/>
      <c r="K242" s="775"/>
      <c r="L242" s="775"/>
      <c r="M242" s="775"/>
      <c r="N242" s="775"/>
      <c r="O242" s="7"/>
    </row>
    <row r="243" spans="1:15" ht="18.75" customHeight="1" x14ac:dyDescent="0.25">
      <c r="A243" s="776" t="s">
        <v>182</v>
      </c>
      <c r="B243" s="776"/>
      <c r="C243" s="776"/>
      <c r="D243" s="776"/>
      <c r="E243" s="776"/>
      <c r="F243" s="776"/>
      <c r="G243" s="776"/>
      <c r="H243" s="776"/>
      <c r="I243" s="776"/>
      <c r="J243" s="776"/>
      <c r="K243" s="776"/>
      <c r="L243" s="776"/>
      <c r="M243" s="776"/>
      <c r="N243" s="776"/>
      <c r="O243" s="7"/>
    </row>
    <row r="244" spans="1:15" ht="31.5" customHeight="1" x14ac:dyDescent="0.25">
      <c r="A244" s="776" t="s">
        <v>183</v>
      </c>
      <c r="B244" s="776"/>
      <c r="C244" s="776"/>
      <c r="D244" s="776"/>
      <c r="E244" s="776"/>
      <c r="F244" s="776"/>
      <c r="G244" s="776"/>
      <c r="H244" s="776"/>
      <c r="I244" s="776"/>
      <c r="J244" s="776"/>
      <c r="K244" s="776"/>
      <c r="L244" s="776"/>
      <c r="M244" s="776"/>
      <c r="N244" s="776"/>
      <c r="O244" s="7"/>
    </row>
    <row r="245" spans="1:15" ht="22.5" customHeight="1" x14ac:dyDescent="0.25">
      <c r="A245" s="776" t="s">
        <v>184</v>
      </c>
      <c r="B245" s="776"/>
      <c r="C245" s="776"/>
      <c r="D245" s="776"/>
      <c r="E245" s="776"/>
      <c r="F245" s="776"/>
      <c r="G245" s="776"/>
      <c r="H245" s="776"/>
      <c r="I245" s="776"/>
      <c r="J245" s="776"/>
      <c r="K245" s="776"/>
      <c r="L245" s="776"/>
      <c r="M245" s="776"/>
      <c r="N245" s="776"/>
      <c r="O245" s="7"/>
    </row>
    <row r="246" spans="1:15" ht="31.5" customHeight="1" x14ac:dyDescent="0.25">
      <c r="A246" s="776" t="s">
        <v>185</v>
      </c>
      <c r="B246" s="776"/>
      <c r="C246" s="776"/>
      <c r="D246" s="776"/>
      <c r="E246" s="776"/>
      <c r="F246" s="776"/>
      <c r="G246" s="776"/>
      <c r="H246" s="776"/>
      <c r="I246" s="776"/>
      <c r="J246" s="776"/>
      <c r="K246" s="776"/>
      <c r="L246" s="776"/>
      <c r="M246" s="776"/>
      <c r="N246" s="776"/>
      <c r="O246" s="7"/>
    </row>
    <row r="247" spans="1:15" ht="33" customHeight="1" x14ac:dyDescent="0.25">
      <c r="A247" s="776" t="s">
        <v>186</v>
      </c>
      <c r="B247" s="776"/>
      <c r="C247" s="776"/>
      <c r="D247" s="776"/>
      <c r="E247" s="776"/>
      <c r="F247" s="776"/>
      <c r="G247" s="776"/>
      <c r="H247" s="776"/>
      <c r="I247" s="776"/>
      <c r="J247" s="776"/>
      <c r="K247" s="776"/>
      <c r="L247" s="776"/>
      <c r="M247" s="776"/>
      <c r="N247" s="776"/>
      <c r="O247" s="7"/>
    </row>
    <row r="248" spans="1:15" ht="47.25" customHeight="1" x14ac:dyDescent="0.25">
      <c r="A248" s="776" t="s">
        <v>583</v>
      </c>
      <c r="B248" s="776"/>
      <c r="C248" s="776"/>
      <c r="D248" s="776"/>
      <c r="E248" s="776"/>
      <c r="F248" s="776"/>
      <c r="G248" s="776"/>
      <c r="H248" s="776"/>
      <c r="I248" s="776"/>
      <c r="J248" s="776"/>
      <c r="K248" s="776"/>
      <c r="L248" s="776"/>
      <c r="M248" s="776"/>
      <c r="N248" s="776"/>
      <c r="O248" s="7"/>
    </row>
    <row r="249" spans="1:15" ht="51" customHeight="1" x14ac:dyDescent="0.25">
      <c r="A249" s="776" t="s">
        <v>187</v>
      </c>
      <c r="B249" s="776"/>
      <c r="C249" s="776"/>
      <c r="D249" s="776"/>
      <c r="E249" s="776"/>
      <c r="F249" s="776"/>
      <c r="G249" s="776"/>
      <c r="H249" s="776"/>
      <c r="I249" s="776"/>
      <c r="J249" s="776"/>
      <c r="K249" s="776"/>
      <c r="L249" s="776"/>
      <c r="M249" s="776"/>
      <c r="N249" s="776"/>
      <c r="O249" s="7"/>
    </row>
    <row r="250" spans="1:15" ht="33" customHeight="1" x14ac:dyDescent="0.25">
      <c r="A250" s="776" t="s">
        <v>188</v>
      </c>
      <c r="B250" s="776"/>
      <c r="C250" s="776"/>
      <c r="D250" s="776"/>
      <c r="E250" s="776"/>
      <c r="F250" s="776"/>
      <c r="G250" s="776"/>
      <c r="H250" s="776"/>
      <c r="I250" s="776"/>
      <c r="J250" s="776"/>
      <c r="K250" s="776"/>
      <c r="L250" s="776"/>
      <c r="M250" s="776"/>
      <c r="N250" s="776"/>
      <c r="O250" s="7"/>
    </row>
    <row r="251" spans="1:15" ht="40.5" customHeight="1" x14ac:dyDescent="0.25">
      <c r="A251" s="776" t="s">
        <v>189</v>
      </c>
      <c r="B251" s="776"/>
      <c r="C251" s="776"/>
      <c r="D251" s="776"/>
      <c r="E251" s="776"/>
      <c r="F251" s="776"/>
      <c r="G251" s="776"/>
      <c r="H251" s="776"/>
      <c r="I251" s="776"/>
      <c r="J251" s="776"/>
      <c r="K251" s="776"/>
      <c r="L251" s="776"/>
      <c r="M251" s="776"/>
      <c r="N251" s="776"/>
      <c r="O251" s="7"/>
    </row>
    <row r="252" spans="1:15" ht="18.75" customHeight="1" x14ac:dyDescent="0.25">
      <c r="A252" s="776" t="s">
        <v>190</v>
      </c>
      <c r="B252" s="776"/>
      <c r="C252" s="776"/>
      <c r="D252" s="776"/>
      <c r="E252" s="776"/>
      <c r="F252" s="776"/>
      <c r="G252" s="776"/>
      <c r="H252" s="776"/>
      <c r="I252" s="776"/>
      <c r="J252" s="776"/>
      <c r="K252" s="776"/>
      <c r="L252" s="776"/>
      <c r="M252" s="776"/>
      <c r="N252" s="776"/>
      <c r="O252" s="7"/>
    </row>
    <row r="253" spans="1:15" ht="53.25" customHeight="1" x14ac:dyDescent="0.25">
      <c r="A253" s="776" t="s">
        <v>191</v>
      </c>
      <c r="B253" s="776"/>
      <c r="C253" s="776"/>
      <c r="D253" s="776"/>
      <c r="E253" s="776"/>
      <c r="F253" s="776"/>
      <c r="G253" s="776"/>
      <c r="H253" s="776"/>
      <c r="I253" s="776"/>
      <c r="J253" s="776"/>
      <c r="K253" s="776"/>
      <c r="L253" s="776"/>
      <c r="M253" s="776"/>
      <c r="N253" s="776"/>
      <c r="O253" s="7"/>
    </row>
  </sheetData>
  <autoFilter ref="A6:O253"/>
  <mergeCells count="43">
    <mergeCell ref="A253:N253"/>
    <mergeCell ref="A247:N247"/>
    <mergeCell ref="A249:N249"/>
    <mergeCell ref="A250:N250"/>
    <mergeCell ref="A251:N251"/>
    <mergeCell ref="A252:N252"/>
    <mergeCell ref="A248:N248"/>
    <mergeCell ref="A242:N242"/>
    <mergeCell ref="A243:N243"/>
    <mergeCell ref="A244:N244"/>
    <mergeCell ref="A245:N245"/>
    <mergeCell ref="A246:N246"/>
    <mergeCell ref="B231:N231"/>
    <mergeCell ref="C235:N235"/>
    <mergeCell ref="K240:K241"/>
    <mergeCell ref="L240:L241"/>
    <mergeCell ref="M240:M241"/>
    <mergeCell ref="N240:N241"/>
    <mergeCell ref="A1:N1"/>
    <mergeCell ref="K4:K6"/>
    <mergeCell ref="B240:B241"/>
    <mergeCell ref="C240:C241"/>
    <mergeCell ref="B140:N140"/>
    <mergeCell ref="B118:N118"/>
    <mergeCell ref="K136:M136"/>
    <mergeCell ref="B104:N104"/>
    <mergeCell ref="B149:N149"/>
    <mergeCell ref="B100:N100"/>
    <mergeCell ref="F3:F6"/>
    <mergeCell ref="B70:N70"/>
    <mergeCell ref="G3:G6"/>
    <mergeCell ref="K3:N3"/>
    <mergeCell ref="L4:L6"/>
    <mergeCell ref="M4:M6"/>
    <mergeCell ref="N4:N6"/>
    <mergeCell ref="A3:A6"/>
    <mergeCell ref="B3:B6"/>
    <mergeCell ref="C3:C6"/>
    <mergeCell ref="D3:D6"/>
    <mergeCell ref="E3:E6"/>
    <mergeCell ref="H3:H6"/>
    <mergeCell ref="I3:I6"/>
    <mergeCell ref="J3:J6"/>
  </mergeCells>
  <pageMargins left="0.31496062992125984" right="0.31496062992125984" top="0.23622047244094488" bottom="0.23622047244094488" header="0.31496062992125984" footer="0.31496062992125984"/>
  <pageSetup paperSize="9"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4" zoomScaleNormal="100" zoomScaleSheetLayoutView="100" workbookViewId="0">
      <selection activeCell="A43" sqref="A43"/>
    </sheetView>
  </sheetViews>
  <sheetFormatPr defaultRowHeight="15" x14ac:dyDescent="0.25"/>
  <cols>
    <col min="1" max="1" width="9.42578125" customWidth="1"/>
    <col min="2" max="2" width="56.85546875" customWidth="1"/>
    <col min="4" max="4" width="10.7109375" customWidth="1"/>
    <col min="5" max="7" width="15.42578125" customWidth="1"/>
    <col min="8" max="8" width="10" customWidth="1"/>
    <col min="9" max="9" width="13" bestFit="1" customWidth="1"/>
  </cols>
  <sheetData>
    <row r="1" spans="1:9" ht="18.75" x14ac:dyDescent="0.25">
      <c r="A1" s="18" t="s">
        <v>192</v>
      </c>
    </row>
    <row r="2" spans="1:9" ht="18.75" x14ac:dyDescent="0.25">
      <c r="A2" s="18"/>
    </row>
    <row r="3" spans="1:9" x14ac:dyDescent="0.25">
      <c r="A3" s="416" t="s">
        <v>193</v>
      </c>
      <c r="B3" s="416" t="s">
        <v>9</v>
      </c>
      <c r="C3" s="416" t="s">
        <v>194</v>
      </c>
      <c r="D3" s="416" t="s">
        <v>195</v>
      </c>
      <c r="E3" s="416" t="s">
        <v>16</v>
      </c>
      <c r="F3" s="416"/>
      <c r="G3" s="416"/>
      <c r="H3" s="416"/>
    </row>
    <row r="4" spans="1:9" ht="60" x14ac:dyDescent="0.25">
      <c r="A4" s="416"/>
      <c r="B4" s="416"/>
      <c r="C4" s="416"/>
      <c r="D4" s="416"/>
      <c r="E4" s="31" t="s">
        <v>196</v>
      </c>
      <c r="F4" s="31" t="s">
        <v>197</v>
      </c>
      <c r="G4" s="31" t="s">
        <v>198</v>
      </c>
      <c r="H4" s="15" t="s">
        <v>17</v>
      </c>
    </row>
    <row r="5" spans="1:9" ht="18.75" x14ac:dyDescent="0.25">
      <c r="A5" s="20">
        <v>1</v>
      </c>
      <c r="B5" s="20">
        <v>2</v>
      </c>
      <c r="C5" s="20">
        <v>3</v>
      </c>
      <c r="D5" s="20">
        <v>4</v>
      </c>
      <c r="E5" s="20">
        <v>5</v>
      </c>
      <c r="F5" s="20">
        <v>6</v>
      </c>
      <c r="G5" s="20">
        <v>7</v>
      </c>
      <c r="H5" s="20">
        <v>8</v>
      </c>
    </row>
    <row r="6" spans="1:9" ht="18.75" x14ac:dyDescent="0.25">
      <c r="A6" s="20" t="s">
        <v>199</v>
      </c>
      <c r="B6" s="22" t="s">
        <v>200</v>
      </c>
      <c r="C6" s="14">
        <v>26000</v>
      </c>
      <c r="D6" s="14" t="s">
        <v>19</v>
      </c>
      <c r="E6" s="29">
        <f>E7+E9+E10+E11+E30+E32</f>
        <v>23915726.830000002</v>
      </c>
      <c r="F6" s="191">
        <f t="shared" ref="F6:G6" si="0">F7+F9+F10+F11+F30+F32</f>
        <v>21706909.100000001</v>
      </c>
      <c r="G6" s="191">
        <f t="shared" si="0"/>
        <v>21706909.100000001</v>
      </c>
      <c r="H6" s="29"/>
      <c r="I6" s="211">
        <f>'1 раздел'!K158</f>
        <v>23915726.829999998</v>
      </c>
    </row>
    <row r="7" spans="1:9" ht="15.75" x14ac:dyDescent="0.25">
      <c r="A7" s="436" t="s">
        <v>201</v>
      </c>
      <c r="B7" s="22" t="s">
        <v>23</v>
      </c>
      <c r="C7" s="437">
        <v>26100</v>
      </c>
      <c r="D7" s="437" t="s">
        <v>19</v>
      </c>
      <c r="E7" s="435"/>
      <c r="F7" s="435"/>
      <c r="G7" s="435"/>
      <c r="H7" s="435"/>
      <c r="I7" s="211">
        <f>I6-E6</f>
        <v>0</v>
      </c>
    </row>
    <row r="8" spans="1:9" ht="162" customHeight="1" x14ac:dyDescent="0.25">
      <c r="A8" s="436"/>
      <c r="B8" s="22" t="s">
        <v>232</v>
      </c>
      <c r="C8" s="437"/>
      <c r="D8" s="437"/>
      <c r="E8" s="435"/>
      <c r="F8" s="435"/>
      <c r="G8" s="435"/>
      <c r="H8" s="435"/>
    </row>
    <row r="9" spans="1:9" ht="63" x14ac:dyDescent="0.25">
      <c r="A9" s="20" t="s">
        <v>202</v>
      </c>
      <c r="B9" s="22" t="s">
        <v>233</v>
      </c>
      <c r="C9" s="14">
        <v>26200</v>
      </c>
      <c r="D9" s="14" t="s">
        <v>19</v>
      </c>
      <c r="E9" s="29"/>
      <c r="F9" s="29"/>
      <c r="G9" s="29"/>
      <c r="H9" s="29"/>
    </row>
    <row r="10" spans="1:9" ht="63" x14ac:dyDescent="0.25">
      <c r="A10" s="20" t="s">
        <v>203</v>
      </c>
      <c r="B10" s="22" t="s">
        <v>234</v>
      </c>
      <c r="C10" s="14">
        <v>26300</v>
      </c>
      <c r="D10" s="14" t="s">
        <v>19</v>
      </c>
      <c r="E10" s="29"/>
      <c r="F10" s="29"/>
      <c r="G10" s="29"/>
      <c r="H10" s="29"/>
    </row>
    <row r="11" spans="1:9" ht="63" x14ac:dyDescent="0.25">
      <c r="A11" s="20" t="s">
        <v>204</v>
      </c>
      <c r="B11" s="22" t="s">
        <v>235</v>
      </c>
      <c r="C11" s="14">
        <v>26400</v>
      </c>
      <c r="D11" s="14" t="s">
        <v>19</v>
      </c>
      <c r="E11" s="29">
        <f>E12+E17+E21+E22+E26</f>
        <v>23915726.830000002</v>
      </c>
      <c r="F11" s="191">
        <f t="shared" ref="F11:G11" si="1">F12+F14+F16</f>
        <v>21706909.100000001</v>
      </c>
      <c r="G11" s="191">
        <f t="shared" si="1"/>
        <v>21706909.100000001</v>
      </c>
      <c r="H11" s="29"/>
    </row>
    <row r="12" spans="1:9" ht="15.75" x14ac:dyDescent="0.25">
      <c r="A12" s="436" t="s">
        <v>205</v>
      </c>
      <c r="B12" s="23" t="s">
        <v>23</v>
      </c>
      <c r="C12" s="437">
        <v>26410</v>
      </c>
      <c r="D12" s="437" t="s">
        <v>19</v>
      </c>
      <c r="E12" s="435">
        <f>E14+E16</f>
        <v>11740602.99</v>
      </c>
      <c r="F12" s="435">
        <f t="shared" ref="F12:G12" si="2">F14+F16</f>
        <v>10853454.550000001</v>
      </c>
      <c r="G12" s="435">
        <f t="shared" si="2"/>
        <v>10853454.550000001</v>
      </c>
      <c r="H12" s="435"/>
    </row>
    <row r="13" spans="1:9" ht="31.5" x14ac:dyDescent="0.25">
      <c r="A13" s="436"/>
      <c r="B13" s="23" t="s">
        <v>206</v>
      </c>
      <c r="C13" s="437"/>
      <c r="D13" s="437"/>
      <c r="E13" s="435"/>
      <c r="F13" s="435"/>
      <c r="G13" s="435"/>
      <c r="H13" s="435"/>
    </row>
    <row r="14" spans="1:9" ht="15.75" x14ac:dyDescent="0.25">
      <c r="A14" s="436" t="s">
        <v>207</v>
      </c>
      <c r="B14" s="24" t="s">
        <v>23</v>
      </c>
      <c r="C14" s="437">
        <v>26411</v>
      </c>
      <c r="D14" s="437" t="s">
        <v>19</v>
      </c>
      <c r="E14" s="435"/>
      <c r="F14" s="435"/>
      <c r="G14" s="435"/>
      <c r="H14" s="435"/>
    </row>
    <row r="15" spans="1:9" ht="15.75" x14ac:dyDescent="0.25">
      <c r="A15" s="436"/>
      <c r="B15" s="25" t="s">
        <v>208</v>
      </c>
      <c r="C15" s="437"/>
      <c r="D15" s="437"/>
      <c r="E15" s="435"/>
      <c r="F15" s="435"/>
      <c r="G15" s="435"/>
      <c r="H15" s="435"/>
    </row>
    <row r="16" spans="1:9" ht="31.5" x14ac:dyDescent="0.25">
      <c r="A16" s="20" t="s">
        <v>209</v>
      </c>
      <c r="B16" s="25" t="s">
        <v>210</v>
      </c>
      <c r="C16" s="14">
        <v>26412</v>
      </c>
      <c r="D16" s="14" t="s">
        <v>19</v>
      </c>
      <c r="E16" s="29">
        <f>'1 раздел'!K161+'1 раздел'!K162+'1 раздел'!K164+'1 раздел'!K168+'1 раздел'!K225+'1 раздел'!K229+'1 раздел'!K170+'1 раздел'!K174+'1 раздел'!K181+'1 раздел'!K188+'1 раздел'!K189+'1 раздел'!K197+'1 раздел'!K198+'1 раздел'!K208+'1 раздел'!K212+'1 раздел'!K214+'1 раздел'!K216+'1 раздел'!K217+'1 раздел'!K219+'1 раздел'!K220</f>
        <v>11740602.99</v>
      </c>
      <c r="F16" s="191">
        <f>'1 раздел'!L161+'1 раздел'!L162+'1 раздел'!L164+'1 раздел'!L168+'1 раздел'!L225+'1 раздел'!L229+'1 раздел'!L170+'1 раздел'!L174+'1 раздел'!L181+'1 раздел'!L188+'1 раздел'!L189+'1 раздел'!L197+'1 раздел'!L198+'1 раздел'!L208+'1 раздел'!L212+'1 раздел'!L214+'1 раздел'!L216+'1 раздел'!L217+'1 раздел'!L219+'1 раздел'!L220</f>
        <v>10853454.550000001</v>
      </c>
      <c r="G16" s="191">
        <f>'1 раздел'!M161+'1 раздел'!M162+'1 раздел'!M164+'1 раздел'!M168+'1 раздел'!M225+'1 раздел'!M229+'1 раздел'!M170+'1 раздел'!M174+'1 раздел'!M181+'1 раздел'!M188+'1 раздел'!M189+'1 раздел'!M197+'1 раздел'!M198+'1 раздел'!M208+'1 раздел'!M212+'1 раздел'!M214+'1 раздел'!M216+'1 раздел'!M217+'1 раздел'!M219+'1 раздел'!M220</f>
        <v>10853454.550000001</v>
      </c>
      <c r="H16" s="29"/>
      <c r="I16">
        <v>4</v>
      </c>
    </row>
    <row r="17" spans="1:9" ht="47.25" x14ac:dyDescent="0.25">
      <c r="A17" s="20" t="s">
        <v>211</v>
      </c>
      <c r="B17" s="26" t="s">
        <v>212</v>
      </c>
      <c r="C17" s="14">
        <v>26420</v>
      </c>
      <c r="D17" s="14" t="s">
        <v>19</v>
      </c>
      <c r="E17" s="29">
        <f>E18+E20</f>
        <v>402091.14</v>
      </c>
      <c r="F17" s="191">
        <f t="shared" ref="F17:G17" si="3">F18+F20</f>
        <v>143948.63</v>
      </c>
      <c r="G17" s="191">
        <f t="shared" si="3"/>
        <v>49086.48</v>
      </c>
      <c r="H17" s="29"/>
    </row>
    <row r="18" spans="1:9" ht="15.75" x14ac:dyDescent="0.25">
      <c r="A18" s="436" t="s">
        <v>213</v>
      </c>
      <c r="B18" s="24" t="s">
        <v>23</v>
      </c>
      <c r="C18" s="437">
        <v>26421</v>
      </c>
      <c r="D18" s="437" t="s">
        <v>19</v>
      </c>
      <c r="E18" s="435"/>
      <c r="F18" s="435"/>
      <c r="G18" s="435"/>
      <c r="H18" s="435"/>
    </row>
    <row r="19" spans="1:9" ht="15.75" x14ac:dyDescent="0.25">
      <c r="A19" s="436"/>
      <c r="B19" s="25" t="s">
        <v>208</v>
      </c>
      <c r="C19" s="437"/>
      <c r="D19" s="437"/>
      <c r="E19" s="435"/>
      <c r="F19" s="435"/>
      <c r="G19" s="435"/>
      <c r="H19" s="435"/>
    </row>
    <row r="20" spans="1:9" ht="31.5" x14ac:dyDescent="0.25">
      <c r="A20" s="20" t="s">
        <v>214</v>
      </c>
      <c r="B20" s="25" t="s">
        <v>210</v>
      </c>
      <c r="C20" s="14">
        <v>26422</v>
      </c>
      <c r="D20" s="14" t="s">
        <v>19</v>
      </c>
      <c r="E20" s="29">
        <f>'1 раздел'!K157+'1 раздел'!K172+'1 раздел'!K176+'1 раздел'!K177+'1 раздел'!K183+'1 раздел'!K190+'1 раздел'!K191+'1 раздел'!K199+'1 раздел'!K200+'1 раздел'!K209+'1 раздел'!K221</f>
        <v>402091.14</v>
      </c>
      <c r="F20" s="191">
        <f>'1 раздел'!L157+'1 раздел'!L172+'1 раздел'!L176+'1 раздел'!L177+'1 раздел'!L183+'1 раздел'!L190+'1 раздел'!L191+'1 раздел'!L199+'1 раздел'!L200+'1 раздел'!L209+'1 раздел'!L221</f>
        <v>143948.63</v>
      </c>
      <c r="G20" s="191">
        <f>'1 раздел'!M157+'1 раздел'!M172+'1 раздел'!M176+'1 раздел'!M177+'1 раздел'!M183+'1 раздел'!M190+'1 раздел'!M191+'1 раздел'!M199+'1 раздел'!M200+'1 раздел'!M209+'1 раздел'!M221</f>
        <v>49086.48</v>
      </c>
      <c r="H20" s="29"/>
      <c r="I20">
        <v>5</v>
      </c>
    </row>
    <row r="21" spans="1:9" ht="31.5" x14ac:dyDescent="0.25">
      <c r="A21" s="20" t="s">
        <v>215</v>
      </c>
      <c r="B21" s="23" t="s">
        <v>216</v>
      </c>
      <c r="C21" s="14">
        <v>26430</v>
      </c>
      <c r="D21" s="14" t="s">
        <v>19</v>
      </c>
      <c r="E21" s="29"/>
      <c r="F21" s="29"/>
      <c r="G21" s="29"/>
      <c r="H21" s="29"/>
    </row>
    <row r="22" spans="1:9" ht="31.5" x14ac:dyDescent="0.25">
      <c r="A22" s="20" t="s">
        <v>217</v>
      </c>
      <c r="B22" s="23" t="s">
        <v>218</v>
      </c>
      <c r="C22" s="14">
        <v>26440</v>
      </c>
      <c r="D22" s="14" t="s">
        <v>19</v>
      </c>
      <c r="E22" s="29"/>
      <c r="F22" s="29"/>
      <c r="G22" s="29"/>
      <c r="H22" s="29"/>
    </row>
    <row r="23" spans="1:9" ht="15.75" x14ac:dyDescent="0.25">
      <c r="A23" s="436" t="s">
        <v>219</v>
      </c>
      <c r="B23" s="24" t="s">
        <v>23</v>
      </c>
      <c r="C23" s="437">
        <v>26441</v>
      </c>
      <c r="D23" s="437" t="s">
        <v>19</v>
      </c>
      <c r="E23" s="435"/>
      <c r="F23" s="435"/>
      <c r="G23" s="435"/>
      <c r="H23" s="435"/>
    </row>
    <row r="24" spans="1:9" ht="15.75" x14ac:dyDescent="0.25">
      <c r="A24" s="436"/>
      <c r="B24" s="25" t="s">
        <v>208</v>
      </c>
      <c r="C24" s="437"/>
      <c r="D24" s="437"/>
      <c r="E24" s="435"/>
      <c r="F24" s="435"/>
      <c r="G24" s="435"/>
      <c r="H24" s="435"/>
    </row>
    <row r="25" spans="1:9" ht="31.5" x14ac:dyDescent="0.25">
      <c r="A25" s="20" t="s">
        <v>220</v>
      </c>
      <c r="B25" s="25" t="s">
        <v>210</v>
      </c>
      <c r="C25" s="14">
        <v>26442</v>
      </c>
      <c r="D25" s="14" t="s">
        <v>19</v>
      </c>
      <c r="E25" s="29"/>
      <c r="F25" s="29"/>
      <c r="G25" s="29"/>
      <c r="H25" s="29"/>
    </row>
    <row r="26" spans="1:9" ht="31.5" x14ac:dyDescent="0.25">
      <c r="A26" s="20" t="s">
        <v>221</v>
      </c>
      <c r="B26" s="23" t="s">
        <v>222</v>
      </c>
      <c r="C26" s="14">
        <v>26450</v>
      </c>
      <c r="D26" s="14" t="s">
        <v>19</v>
      </c>
      <c r="E26" s="29">
        <f>E29+E27</f>
        <v>11773032.700000001</v>
      </c>
      <c r="F26" s="191">
        <f t="shared" ref="F26:G26" si="4">F29+F27</f>
        <v>11519361.26</v>
      </c>
      <c r="G26" s="191">
        <f t="shared" si="4"/>
        <v>11941262.130000001</v>
      </c>
      <c r="H26" s="29"/>
    </row>
    <row r="27" spans="1:9" ht="15.75" x14ac:dyDescent="0.25">
      <c r="A27" s="436" t="s">
        <v>223</v>
      </c>
      <c r="B27" s="24" t="s">
        <v>23</v>
      </c>
      <c r="C27" s="437">
        <v>26451</v>
      </c>
      <c r="D27" s="437" t="s">
        <v>19</v>
      </c>
      <c r="E27" s="435"/>
      <c r="F27" s="435"/>
      <c r="G27" s="435"/>
      <c r="H27" s="435"/>
    </row>
    <row r="28" spans="1:9" ht="15.75" x14ac:dyDescent="0.25">
      <c r="A28" s="436"/>
      <c r="B28" s="25" t="s">
        <v>208</v>
      </c>
      <c r="C28" s="437"/>
      <c r="D28" s="437"/>
      <c r="E28" s="435"/>
      <c r="F28" s="435"/>
      <c r="G28" s="435"/>
      <c r="H28" s="435"/>
    </row>
    <row r="29" spans="1:9" ht="31.5" x14ac:dyDescent="0.25">
      <c r="A29" s="20" t="s">
        <v>224</v>
      </c>
      <c r="B29" s="25" t="s">
        <v>225</v>
      </c>
      <c r="C29" s="14">
        <v>26452</v>
      </c>
      <c r="D29" s="14" t="s">
        <v>19</v>
      </c>
      <c r="E29" s="29">
        <f>'1 раздел'!K160+'1 раздел'!K163+'1 раздел'!K167+'1 раздел'!K224+'1 раздел'!K226+'1 раздел'!K228+'1 раздел'!K169+'1 раздел'!K171+'1 раздел'!K173+'1 раздел'!K180+'1 раздел'!K184+'1 раздел'!K185+'1 раздел'!K186+'1 раздел'!K187+'1 раздел'!K192+'1 раздел'!K194+'1 раздел'!K196+'1 раздел'!K202+'1 раздел'!K205+'1 раздел'!K207+'1 раздел'!K210+'1 раздел'!K211+'1 раздел'!K213+'1 раздел'!K215+'1 раздел'!K218</f>
        <v>11773032.700000001</v>
      </c>
      <c r="F29" s="191">
        <f>'1 раздел'!L160+'1 раздел'!L163+'1 раздел'!L167+'1 раздел'!L224+'1 раздел'!L226+'1 раздел'!L228+'1 раздел'!L169+'1 раздел'!L171+'1 раздел'!L173+'1 раздел'!L180+'1 раздел'!L184+'1 раздел'!L185+'1 раздел'!L186+'1 раздел'!L187+'1 раздел'!L192+'1 раздел'!L194+'1 раздел'!L196+'1 раздел'!L202+'1 раздел'!L205+'1 раздел'!L207+'1 раздел'!L210+'1 раздел'!L211+'1 раздел'!L213+'1 раздел'!L215+'1 раздел'!L218</f>
        <v>11519361.26</v>
      </c>
      <c r="G29" s="191">
        <f>'1 раздел'!M160+'1 раздел'!M163+'1 раздел'!M167+'1 раздел'!M224+'1 раздел'!M226+'1 раздел'!M228+'1 раздел'!M169+'1 раздел'!M171+'1 раздел'!M173+'1 раздел'!M180+'1 раздел'!M184+'1 раздел'!M185+'1 раздел'!M186+'1 раздел'!M187+'1 раздел'!M192+'1 раздел'!M194+'1 раздел'!M196+'1 раздел'!M202+'1 раздел'!M205+'1 раздел'!M207+'1 раздел'!M210+'1 раздел'!M211+'1 раздел'!M213+'1 раздел'!M215+'1 раздел'!M218</f>
        <v>11941262.130000001</v>
      </c>
      <c r="H29" s="29"/>
      <c r="I29">
        <v>2</v>
      </c>
    </row>
    <row r="30" spans="1:9" ht="63" x14ac:dyDescent="0.25">
      <c r="A30" s="20" t="s">
        <v>226</v>
      </c>
      <c r="B30" s="27" t="s">
        <v>227</v>
      </c>
      <c r="C30" s="14">
        <v>26500</v>
      </c>
      <c r="D30" s="14" t="s">
        <v>19</v>
      </c>
      <c r="E30" s="29"/>
      <c r="F30" s="29"/>
      <c r="G30" s="29"/>
      <c r="H30" s="29"/>
    </row>
    <row r="31" spans="1:9" ht="18.75" x14ac:dyDescent="0.25">
      <c r="A31" s="20"/>
      <c r="B31" s="23" t="s">
        <v>228</v>
      </c>
      <c r="C31" s="14">
        <v>26510</v>
      </c>
      <c r="D31" s="14"/>
      <c r="E31" s="29"/>
      <c r="F31" s="29"/>
      <c r="G31" s="29"/>
      <c r="H31" s="29"/>
    </row>
    <row r="32" spans="1:9" ht="63" x14ac:dyDescent="0.25">
      <c r="A32" s="20" t="s">
        <v>229</v>
      </c>
      <c r="B32" s="27" t="s">
        <v>230</v>
      </c>
      <c r="C32" s="14">
        <v>26600</v>
      </c>
      <c r="D32" s="14" t="s">
        <v>19</v>
      </c>
      <c r="E32" s="29"/>
      <c r="F32" s="29"/>
      <c r="G32" s="29"/>
      <c r="H32" s="29"/>
    </row>
    <row r="33" spans="1:8" ht="18.75" x14ac:dyDescent="0.25">
      <c r="A33" s="20"/>
      <c r="B33" s="23" t="s">
        <v>228</v>
      </c>
      <c r="C33" s="14">
        <v>26610</v>
      </c>
      <c r="D33" s="14"/>
      <c r="E33" s="29"/>
      <c r="F33" s="29"/>
      <c r="G33" s="29"/>
      <c r="H33" s="29"/>
    </row>
    <row r="34" spans="1:8" ht="18.75" x14ac:dyDescent="0.25">
      <c r="A34" s="2"/>
    </row>
    <row r="35" spans="1:8" ht="15.75" x14ac:dyDescent="0.25">
      <c r="A35" s="192" t="s">
        <v>231</v>
      </c>
    </row>
    <row r="36" spans="1:8" ht="15.75" x14ac:dyDescent="0.25">
      <c r="A36" s="192" t="s">
        <v>641</v>
      </c>
      <c r="C36" s="433" t="s">
        <v>642</v>
      </c>
      <c r="D36" s="433"/>
      <c r="E36" s="194"/>
      <c r="F36" s="194"/>
      <c r="G36" s="433" t="s">
        <v>634</v>
      </c>
      <c r="H36" s="433"/>
    </row>
    <row r="37" spans="1:8" ht="15.75" x14ac:dyDescent="0.25">
      <c r="A37" s="192" t="s">
        <v>647</v>
      </c>
    </row>
    <row r="38" spans="1:8" ht="18.75" x14ac:dyDescent="0.25">
      <c r="A38" s="19"/>
    </row>
    <row r="39" spans="1:8" ht="15.75" x14ac:dyDescent="0.25">
      <c r="A39" s="192" t="s">
        <v>643</v>
      </c>
      <c r="B39" s="192"/>
      <c r="C39" s="434" t="s">
        <v>644</v>
      </c>
      <c r="D39" s="434"/>
      <c r="E39" s="434" t="s">
        <v>645</v>
      </c>
      <c r="F39" s="434"/>
      <c r="G39" s="434" t="s">
        <v>646</v>
      </c>
      <c r="H39" s="434"/>
    </row>
    <row r="40" spans="1:8" ht="15.75" x14ac:dyDescent="0.25">
      <c r="A40" s="438" t="s">
        <v>648</v>
      </c>
      <c r="B40" s="438"/>
      <c r="C40" s="438"/>
      <c r="D40" s="438"/>
      <c r="E40" s="438"/>
      <c r="F40" s="438"/>
      <c r="G40" s="438"/>
      <c r="H40" s="438"/>
    </row>
    <row r="41" spans="1:8" ht="18.75" x14ac:dyDescent="0.25">
      <c r="A41" s="17"/>
    </row>
    <row r="42" spans="1:8" ht="15.75" x14ac:dyDescent="0.25">
      <c r="A42" s="439" t="str">
        <f>'титульный лист'!A18:O18</f>
        <v xml:space="preserve">от «31» марта 2021 г.     </v>
      </c>
      <c r="B42" s="439"/>
      <c r="C42" s="439"/>
      <c r="D42" s="439"/>
      <c r="E42" s="439"/>
      <c r="F42" s="439"/>
      <c r="G42" s="439"/>
      <c r="H42" s="439"/>
    </row>
    <row r="44" spans="1:8" x14ac:dyDescent="0.25">
      <c r="A44" s="440" t="s">
        <v>236</v>
      </c>
      <c r="B44" s="440"/>
      <c r="C44" s="440"/>
      <c r="D44" s="440"/>
      <c r="E44" s="440"/>
      <c r="F44" s="440"/>
      <c r="G44" s="440"/>
      <c r="H44" s="440"/>
    </row>
    <row r="45" spans="1:8" ht="44.25" customHeight="1" x14ac:dyDescent="0.25">
      <c r="A45" s="432" t="s">
        <v>237</v>
      </c>
      <c r="B45" s="432"/>
      <c r="C45" s="432"/>
      <c r="D45" s="432"/>
      <c r="E45" s="432"/>
      <c r="F45" s="432"/>
      <c r="G45" s="432"/>
      <c r="H45" s="432"/>
    </row>
    <row r="46" spans="1:8" ht="117" customHeight="1" x14ac:dyDescent="0.25">
      <c r="A46" s="432" t="s">
        <v>238</v>
      </c>
      <c r="B46" s="432"/>
      <c r="C46" s="432"/>
      <c r="D46" s="432"/>
      <c r="E46" s="432"/>
      <c r="F46" s="432"/>
      <c r="G46" s="432"/>
      <c r="H46" s="432"/>
    </row>
    <row r="47" spans="1:8" ht="37.5" customHeight="1" x14ac:dyDescent="0.25">
      <c r="A47" s="432" t="s">
        <v>239</v>
      </c>
      <c r="B47" s="432"/>
      <c r="C47" s="432"/>
      <c r="D47" s="432"/>
      <c r="E47" s="432"/>
      <c r="F47" s="432"/>
      <c r="G47" s="432"/>
      <c r="H47" s="432"/>
    </row>
    <row r="48" spans="1:8" ht="20.25" customHeight="1" x14ac:dyDescent="0.25">
      <c r="A48" s="432" t="s">
        <v>240</v>
      </c>
      <c r="B48" s="432"/>
      <c r="C48" s="432"/>
      <c r="D48" s="432"/>
      <c r="E48" s="432"/>
      <c r="F48" s="432"/>
      <c r="G48" s="432"/>
      <c r="H48" s="432"/>
    </row>
    <row r="49" spans="1:8" ht="20.25" customHeight="1" x14ac:dyDescent="0.25">
      <c r="A49" s="432" t="s">
        <v>241</v>
      </c>
      <c r="B49" s="432"/>
      <c r="C49" s="432"/>
      <c r="D49" s="432"/>
      <c r="E49" s="432"/>
      <c r="F49" s="432"/>
      <c r="G49" s="432"/>
      <c r="H49" s="432"/>
    </row>
    <row r="50" spans="1:8" ht="20.25" customHeight="1" x14ac:dyDescent="0.25">
      <c r="A50" s="432" t="s">
        <v>242</v>
      </c>
      <c r="B50" s="432"/>
      <c r="C50" s="432"/>
      <c r="D50" s="432"/>
      <c r="E50" s="432"/>
      <c r="F50" s="432"/>
      <c r="G50" s="432"/>
      <c r="H50" s="432"/>
    </row>
    <row r="51" spans="1:8" ht="20.25" customHeight="1" x14ac:dyDescent="0.25">
      <c r="A51" s="432" t="s">
        <v>243</v>
      </c>
      <c r="B51" s="432"/>
      <c r="C51" s="432"/>
      <c r="D51" s="432"/>
      <c r="E51" s="432"/>
      <c r="F51" s="432"/>
      <c r="G51" s="432"/>
      <c r="H51" s="432"/>
    </row>
    <row r="52" spans="1:8" ht="20.25" customHeight="1" x14ac:dyDescent="0.25">
      <c r="A52" s="432" t="s">
        <v>244</v>
      </c>
      <c r="B52" s="432"/>
      <c r="C52" s="432"/>
      <c r="D52" s="432"/>
      <c r="E52" s="432"/>
      <c r="F52" s="432"/>
      <c r="G52" s="432"/>
      <c r="H52" s="432"/>
    </row>
    <row r="53" spans="1:8" ht="54" customHeight="1" x14ac:dyDescent="0.25">
      <c r="A53" s="432" t="s">
        <v>245</v>
      </c>
      <c r="B53" s="432"/>
      <c r="C53" s="432"/>
      <c r="D53" s="432"/>
      <c r="E53" s="432"/>
      <c r="F53" s="432"/>
      <c r="G53" s="432"/>
      <c r="H53" s="432"/>
    </row>
  </sheetData>
  <mergeCells count="64">
    <mergeCell ref="A53:H53"/>
    <mergeCell ref="A46:H46"/>
    <mergeCell ref="A47:H47"/>
    <mergeCell ref="A48:H48"/>
    <mergeCell ref="A49:H49"/>
    <mergeCell ref="A50:H50"/>
    <mergeCell ref="A51:H51"/>
    <mergeCell ref="A40:H40"/>
    <mergeCell ref="A42:H42"/>
    <mergeCell ref="A44:H44"/>
    <mergeCell ref="A45:H45"/>
    <mergeCell ref="A52:H52"/>
    <mergeCell ref="H23:H24"/>
    <mergeCell ref="A27:A28"/>
    <mergeCell ref="C27:C28"/>
    <mergeCell ref="D27:D28"/>
    <mergeCell ref="E27:E28"/>
    <mergeCell ref="F27:F28"/>
    <mergeCell ref="G27:G28"/>
    <mergeCell ref="H27:H28"/>
    <mergeCell ref="A23:A24"/>
    <mergeCell ref="C23:C24"/>
    <mergeCell ref="D23:D24"/>
    <mergeCell ref="E23:E24"/>
    <mergeCell ref="F23:F24"/>
    <mergeCell ref="G23:G24"/>
    <mergeCell ref="H14:H15"/>
    <mergeCell ref="A18:A19"/>
    <mergeCell ref="C18:C19"/>
    <mergeCell ref="D18:D19"/>
    <mergeCell ref="E18:E19"/>
    <mergeCell ref="F18:F19"/>
    <mergeCell ref="G18:G19"/>
    <mergeCell ref="H18:H19"/>
    <mergeCell ref="A14:A15"/>
    <mergeCell ref="C14:C15"/>
    <mergeCell ref="D14:D15"/>
    <mergeCell ref="E14:E15"/>
    <mergeCell ref="F14:F15"/>
    <mergeCell ref="G14:G15"/>
    <mergeCell ref="G7:G8"/>
    <mergeCell ref="H7:H8"/>
    <mergeCell ref="A12:A13"/>
    <mergeCell ref="C12:C13"/>
    <mergeCell ref="D12:D13"/>
    <mergeCell ref="E12:E13"/>
    <mergeCell ref="F12:F13"/>
    <mergeCell ref="G12:G13"/>
    <mergeCell ref="H12:H13"/>
    <mergeCell ref="A7:A8"/>
    <mergeCell ref="C7:C8"/>
    <mergeCell ref="D7:D8"/>
    <mergeCell ref="E7:E8"/>
    <mergeCell ref="F7:F8"/>
    <mergeCell ref="A3:A4"/>
    <mergeCell ref="B3:B4"/>
    <mergeCell ref="C3:C4"/>
    <mergeCell ref="D3:D4"/>
    <mergeCell ref="E3:H3"/>
    <mergeCell ref="C36:D36"/>
    <mergeCell ref="G36:H36"/>
    <mergeCell ref="C39:D39"/>
    <mergeCell ref="E39:F39"/>
    <mergeCell ref="G39:H39"/>
  </mergeCells>
  <hyperlinks>
    <hyperlink ref="B15" r:id="rId1" display="consultantplus://offline/ref=25613B820ED8D467709385FFBBD2423B71970CBE5B5D377A8236A5B7B3F274E2C65484FA1133E476AC95E98CA9G0h2M"/>
    <hyperlink ref="B16" r:id="rId2" display="consultantplus://offline/ref=53E95EC7FFBA50A91A379B132AFA0B4278B8C11A84B75BF933DD6E9107B005B2968096904546DA53CBCF5A4AD8Q7hFM"/>
    <hyperlink ref="B17" r:id="rId3" display="consultantplus://offline/ref=280587161436249041173B36811E4341F024095E8A690BF3BA6328629DB444AFA7C5A321B3345C7CCE827725D03C1C6D775A0C15CB2CPBiAM"/>
    <hyperlink ref="B19" r:id="rId4" display="consultantplus://offline/ref=5C0EF70A756CB7648EC7B01E55328E5023CB191683D03ABC1374A6764B93A310C16342D36134DF949E28CF20F9zAk7M"/>
    <hyperlink ref="B20" r:id="rId5" display="consultantplus://offline/ref=98878A1157728594C00A05B8B10AFA16D8DE87A73CE16BB0261EB415AAC8CADB1EC6BA7EDCE0D268E26CF93316HClEM"/>
    <hyperlink ref="B24" r:id="rId6" display="consultantplus://offline/ref=BDA720377C3CF88E2E0FF08D3B2ECFBA1E52226DABA5F1C67B7FDB8B07A7A4471D22B25E7722175B583BA29D9EU8pDM"/>
    <hyperlink ref="B25" r:id="rId7" display="consultantplus://offline/ref=E8837531A98DDA9CE7B3EF3A8D8810A0CA861DB8DA864D7A747F251A073DB0C5518EFA13C30C6088DE9D551733mApCM"/>
    <hyperlink ref="B28" r:id="rId8" display="consultantplus://offline/ref=CBECFAEF91D2D30EBC08D16080DD269092342B1E4843B99A99CB88A7BD2CA4858E334B9E7C396F7E21BBBDE705d5vBM"/>
    <hyperlink ref="B29" r:id="rId9" display="consultantplus://offline/ref=BE8C1374B042E3F7FB9FE324E3162F87539B90FA15A243C89205FCD9C8FAB1589CABDA4CC0EAFD9BBD8D8CED9062vAM"/>
    <hyperlink ref="B30" r:id="rId10" display="consultantplus://offline/ref=8D21A68D24BF0BB691D4FEBF346B8381FFBF06ACFB556882F8EBFC44D6D4FDFBFB9FE66FA3C074F87DAD9A3983tAwAM"/>
    <hyperlink ref="B32" r:id="rId11" display="consultantplus://offline/ref=9245A734015DC4942AA35FC3B16C078CD8A08E50AC0CCFB05D429DEF390116FAA37E169F52215A2385376602B0h5x0M"/>
  </hyperlinks>
  <pageMargins left="0.31496062992125984" right="0.31496062992125984" top="0.23622047244094488" bottom="0.23622047244094488" header="0.31496062992125984" footer="0.31496062992125984"/>
  <pageSetup paperSize="9" scale="68" orientation="portrait" r:id="rId12"/>
  <rowBreaks count="1" manualBreakCount="1">
    <brk id="3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7"/>
  <sheetViews>
    <sheetView view="pageBreakPreview" zoomScale="55" zoomScaleSheetLayoutView="55" workbookViewId="0">
      <selection activeCell="A194" sqref="A194:G201"/>
    </sheetView>
  </sheetViews>
  <sheetFormatPr defaultRowHeight="15" x14ac:dyDescent="0.25"/>
  <cols>
    <col min="1" max="1" width="6.5703125" style="323" customWidth="1"/>
    <col min="2" max="2" width="16.140625" customWidth="1"/>
    <col min="3" max="3" width="12.140625" customWidth="1"/>
    <col min="4" max="4" width="9.7109375" customWidth="1"/>
    <col min="5" max="5" width="10" customWidth="1"/>
    <col min="6" max="7" width="9.28515625" bestFit="1" customWidth="1"/>
    <col min="8" max="8" width="11.28515625" bestFit="1" customWidth="1"/>
    <col min="9" max="9" width="13.140625" customWidth="1"/>
    <col min="10" max="10" width="11.28515625" customWidth="1"/>
    <col min="15" max="15" width="12.140625" customWidth="1"/>
    <col min="19" max="19" width="10" bestFit="1" customWidth="1"/>
    <col min="22" max="22" width="10.5703125" bestFit="1" customWidth="1"/>
    <col min="23" max="23" width="13.7109375" customWidth="1"/>
    <col min="24" max="24" width="10.85546875" bestFit="1" customWidth="1"/>
  </cols>
  <sheetData>
    <row r="1" spans="1:22" ht="15.75" x14ac:dyDescent="0.25">
      <c r="R1" s="46" t="s">
        <v>246</v>
      </c>
    </row>
    <row r="2" spans="1:22" ht="15.75" customHeight="1" x14ac:dyDescent="0.25">
      <c r="A2" s="483" t="s">
        <v>346</v>
      </c>
      <c r="B2" s="483"/>
      <c r="C2" s="483"/>
      <c r="D2" s="483"/>
      <c r="E2" s="483"/>
      <c r="F2" s="483"/>
      <c r="G2" s="483"/>
      <c r="H2" s="483"/>
      <c r="I2" s="483"/>
      <c r="J2" s="483"/>
      <c r="K2" s="483"/>
      <c r="L2" s="483"/>
      <c r="M2" s="483"/>
      <c r="N2" s="483"/>
      <c r="O2" s="483"/>
      <c r="P2" s="483"/>
      <c r="Q2" s="483"/>
      <c r="R2" s="483"/>
      <c r="S2" s="483"/>
    </row>
    <row r="3" spans="1:22" x14ac:dyDescent="0.25">
      <c r="A3" s="484"/>
      <c r="B3" s="484"/>
      <c r="C3" s="484"/>
      <c r="D3" s="484"/>
      <c r="E3" s="484"/>
      <c r="F3" s="484"/>
      <c r="G3" s="484"/>
      <c r="H3" s="484"/>
      <c r="I3" s="484"/>
      <c r="J3" s="484"/>
      <c r="K3" s="484"/>
      <c r="L3" s="484"/>
      <c r="M3" s="484"/>
      <c r="N3" s="484"/>
      <c r="O3" s="484"/>
      <c r="P3" s="484"/>
      <c r="Q3" s="484"/>
      <c r="R3" s="484"/>
      <c r="S3" s="484"/>
    </row>
    <row r="4" spans="1:22" ht="15.75" customHeight="1" x14ac:dyDescent="0.25">
      <c r="A4" s="483" t="s">
        <v>593</v>
      </c>
      <c r="B4" s="483"/>
      <c r="C4" s="483"/>
      <c r="D4" s="483"/>
      <c r="E4" s="483"/>
      <c r="F4" s="483"/>
      <c r="G4" s="483"/>
      <c r="H4" s="483"/>
      <c r="I4" s="483"/>
      <c r="J4" s="483"/>
      <c r="K4" s="483"/>
      <c r="L4" s="483"/>
      <c r="M4" s="483"/>
      <c r="N4" s="483"/>
      <c r="O4" s="483"/>
      <c r="P4" s="483"/>
      <c r="Q4" s="483"/>
      <c r="R4" s="483"/>
      <c r="S4" s="483"/>
    </row>
    <row r="5" spans="1:22" x14ac:dyDescent="0.25">
      <c r="A5" s="485"/>
      <c r="B5" s="485"/>
      <c r="C5" s="485"/>
      <c r="D5" s="485"/>
      <c r="E5" s="485"/>
      <c r="F5" s="485"/>
      <c r="G5" s="485"/>
      <c r="H5" s="485"/>
      <c r="I5" s="485"/>
      <c r="J5" s="485"/>
      <c r="K5" s="485"/>
      <c r="L5" s="485"/>
      <c r="M5" s="485"/>
      <c r="N5" s="485"/>
      <c r="O5" s="485"/>
      <c r="P5" s="485"/>
      <c r="Q5" s="485"/>
      <c r="R5" s="485"/>
      <c r="S5" s="485"/>
    </row>
    <row r="6" spans="1:22" ht="15.75" customHeight="1" x14ac:dyDescent="0.25">
      <c r="A6" s="482" t="s">
        <v>347</v>
      </c>
      <c r="B6" s="482"/>
      <c r="C6" s="482"/>
      <c r="D6" s="482"/>
      <c r="E6" s="482"/>
      <c r="F6" s="482"/>
      <c r="G6" s="482"/>
      <c r="H6" s="482"/>
      <c r="I6" s="482"/>
      <c r="J6" s="482"/>
      <c r="K6" s="482"/>
      <c r="L6" s="482"/>
      <c r="M6" s="482"/>
      <c r="N6" s="482"/>
      <c r="O6" s="482"/>
      <c r="P6" s="482"/>
      <c r="Q6" s="482"/>
      <c r="R6" s="482"/>
      <c r="S6" s="482"/>
    </row>
    <row r="7" spans="1:22" ht="15.75" x14ac:dyDescent="0.25">
      <c r="A7" s="447"/>
      <c r="B7" s="447"/>
      <c r="C7" s="447"/>
      <c r="D7" s="447"/>
      <c r="E7" s="447"/>
      <c r="F7" s="447"/>
      <c r="G7" s="447"/>
      <c r="H7" s="447"/>
      <c r="I7" s="447"/>
      <c r="J7" s="447"/>
      <c r="K7" s="447"/>
      <c r="L7" s="447"/>
      <c r="M7" s="447"/>
      <c r="N7" s="447"/>
      <c r="O7" s="447"/>
      <c r="P7" s="447"/>
      <c r="Q7" s="447"/>
      <c r="R7" s="447"/>
      <c r="S7" s="447"/>
    </row>
    <row r="8" spans="1:22" ht="15.75" customHeight="1" x14ac:dyDescent="0.25">
      <c r="A8" s="474" t="s">
        <v>348</v>
      </c>
      <c r="B8" s="474"/>
      <c r="C8" s="474"/>
      <c r="D8" s="474"/>
      <c r="E8" s="474"/>
      <c r="F8" s="474"/>
      <c r="G8" s="474"/>
      <c r="H8" s="474"/>
      <c r="I8" s="474"/>
      <c r="J8" s="474"/>
      <c r="K8" s="474"/>
      <c r="L8" s="474"/>
      <c r="M8" s="474"/>
      <c r="N8" s="474"/>
      <c r="O8" s="474"/>
      <c r="P8" s="474"/>
      <c r="Q8" s="474"/>
      <c r="R8" s="474"/>
      <c r="S8" s="474"/>
    </row>
    <row r="9" spans="1:22" ht="15.75" x14ac:dyDescent="0.25">
      <c r="A9" s="332"/>
      <c r="B9" s="47"/>
      <c r="C9" s="47"/>
    </row>
    <row r="10" spans="1:22" ht="17.25" customHeight="1" x14ac:dyDescent="0.25">
      <c r="A10" s="447" t="s">
        <v>349</v>
      </c>
      <c r="B10" s="447"/>
      <c r="C10" s="447"/>
      <c r="D10" s="447"/>
      <c r="E10" s="447"/>
      <c r="F10" s="487" t="s">
        <v>350</v>
      </c>
      <c r="G10" s="487"/>
    </row>
    <row r="11" spans="1:22" x14ac:dyDescent="0.25">
      <c r="A11" s="338"/>
      <c r="B11" s="449"/>
      <c r="C11" s="449"/>
    </row>
    <row r="12" spans="1:22" ht="21" customHeight="1" x14ac:dyDescent="0.25">
      <c r="A12" s="450" t="s">
        <v>351</v>
      </c>
      <c r="B12" s="450"/>
      <c r="C12" s="450"/>
      <c r="D12" s="450"/>
      <c r="E12" s="450"/>
      <c r="F12" s="451" t="s">
        <v>392</v>
      </c>
      <c r="G12" s="451"/>
      <c r="H12" s="451"/>
      <c r="I12" s="451"/>
      <c r="J12" s="451"/>
      <c r="M12" s="49"/>
      <c r="N12" s="49"/>
      <c r="O12" s="49"/>
    </row>
    <row r="13" spans="1:22" x14ac:dyDescent="0.25">
      <c r="A13" s="338"/>
      <c r="B13" s="48"/>
      <c r="C13" s="48"/>
    </row>
    <row r="14" spans="1:22" ht="15.75" x14ac:dyDescent="0.25">
      <c r="A14" s="482"/>
      <c r="B14" s="482"/>
      <c r="C14" s="482"/>
      <c r="D14" s="482"/>
      <c r="E14" s="482"/>
      <c r="F14" s="482"/>
      <c r="G14" s="482"/>
      <c r="H14" s="482"/>
      <c r="I14" s="482"/>
      <c r="J14" s="482"/>
      <c r="K14" s="482"/>
      <c r="L14" s="482"/>
      <c r="M14" s="482"/>
      <c r="N14" s="482"/>
      <c r="O14" s="482"/>
      <c r="P14" s="482"/>
      <c r="Q14" s="482"/>
      <c r="R14" s="482"/>
      <c r="S14" s="482"/>
    </row>
    <row r="15" spans="1:22" ht="15" customHeight="1" x14ac:dyDescent="0.25">
      <c r="A15" s="489" t="s">
        <v>193</v>
      </c>
      <c r="B15" s="488" t="s">
        <v>352</v>
      </c>
      <c r="C15" s="488" t="s">
        <v>353</v>
      </c>
      <c r="D15" s="488" t="s">
        <v>354</v>
      </c>
      <c r="E15" s="488"/>
      <c r="F15" s="488"/>
      <c r="G15" s="488"/>
      <c r="H15" s="488"/>
      <c r="I15" s="488" t="s">
        <v>355</v>
      </c>
      <c r="J15" s="488"/>
      <c r="K15" s="488"/>
      <c r="L15" s="488"/>
      <c r="M15" s="488"/>
      <c r="N15" s="488" t="s">
        <v>356</v>
      </c>
      <c r="O15" s="488"/>
      <c r="P15" s="488"/>
      <c r="Q15" s="488"/>
      <c r="R15" s="488" t="s">
        <v>357</v>
      </c>
      <c r="S15" s="488"/>
      <c r="T15" s="488"/>
      <c r="U15" s="488"/>
      <c r="V15" s="488" t="s">
        <v>621</v>
      </c>
    </row>
    <row r="16" spans="1:22" ht="15" customHeight="1" x14ac:dyDescent="0.25">
      <c r="A16" s="490"/>
      <c r="B16" s="488"/>
      <c r="C16" s="488"/>
      <c r="D16" s="488" t="s">
        <v>358</v>
      </c>
      <c r="E16" s="488"/>
      <c r="F16" s="488"/>
      <c r="G16" s="488"/>
      <c r="H16" s="488"/>
      <c r="I16" s="488"/>
      <c r="J16" s="488"/>
      <c r="K16" s="488"/>
      <c r="L16" s="488"/>
      <c r="M16" s="488"/>
      <c r="N16" s="488"/>
      <c r="O16" s="488"/>
      <c r="P16" s="488"/>
      <c r="Q16" s="488"/>
      <c r="R16" s="488"/>
      <c r="S16" s="488"/>
      <c r="T16" s="488"/>
      <c r="U16" s="488"/>
      <c r="V16" s="488"/>
    </row>
    <row r="17" spans="1:22" ht="60" customHeight="1" x14ac:dyDescent="0.25">
      <c r="A17" s="490"/>
      <c r="B17" s="488"/>
      <c r="C17" s="488"/>
      <c r="D17" s="476" t="s">
        <v>626</v>
      </c>
      <c r="E17" s="476" t="s">
        <v>627</v>
      </c>
      <c r="F17" s="476" t="s">
        <v>393</v>
      </c>
      <c r="G17" s="476" t="s">
        <v>394</v>
      </c>
      <c r="H17" s="476" t="s">
        <v>622</v>
      </c>
      <c r="I17" s="476" t="s">
        <v>628</v>
      </c>
      <c r="J17" s="476" t="s">
        <v>629</v>
      </c>
      <c r="K17" s="476" t="s">
        <v>393</v>
      </c>
      <c r="L17" s="486" t="s">
        <v>359</v>
      </c>
      <c r="M17" s="476" t="s">
        <v>623</v>
      </c>
      <c r="N17" s="476" t="s">
        <v>395</v>
      </c>
      <c r="O17" s="486" t="s">
        <v>630</v>
      </c>
      <c r="P17" s="486" t="s">
        <v>631</v>
      </c>
      <c r="Q17" s="476" t="s">
        <v>624</v>
      </c>
      <c r="R17" s="476" t="s">
        <v>395</v>
      </c>
      <c r="S17" s="486" t="s">
        <v>630</v>
      </c>
      <c r="T17" s="486" t="s">
        <v>631</v>
      </c>
      <c r="U17" s="489" t="s">
        <v>625</v>
      </c>
      <c r="V17" s="488"/>
    </row>
    <row r="18" spans="1:22" x14ac:dyDescent="0.25">
      <c r="A18" s="490"/>
      <c r="B18" s="488"/>
      <c r="C18" s="488"/>
      <c r="D18" s="477"/>
      <c r="E18" s="477"/>
      <c r="F18" s="477"/>
      <c r="G18" s="477"/>
      <c r="H18" s="477"/>
      <c r="I18" s="477"/>
      <c r="J18" s="477"/>
      <c r="K18" s="477"/>
      <c r="L18" s="486"/>
      <c r="M18" s="477"/>
      <c r="N18" s="477"/>
      <c r="O18" s="486"/>
      <c r="P18" s="486"/>
      <c r="Q18" s="477"/>
      <c r="R18" s="477"/>
      <c r="S18" s="486"/>
      <c r="T18" s="486"/>
      <c r="U18" s="490"/>
      <c r="V18" s="488"/>
    </row>
    <row r="19" spans="1:22" x14ac:dyDescent="0.25">
      <c r="A19" s="490"/>
      <c r="B19" s="488"/>
      <c r="C19" s="488"/>
      <c r="D19" s="477"/>
      <c r="E19" s="477"/>
      <c r="F19" s="477"/>
      <c r="G19" s="477"/>
      <c r="H19" s="477"/>
      <c r="I19" s="477"/>
      <c r="J19" s="477"/>
      <c r="K19" s="477"/>
      <c r="L19" s="486"/>
      <c r="M19" s="477"/>
      <c r="N19" s="477"/>
      <c r="O19" s="486"/>
      <c r="P19" s="486"/>
      <c r="Q19" s="477"/>
      <c r="R19" s="477"/>
      <c r="S19" s="486"/>
      <c r="T19" s="486"/>
      <c r="U19" s="490"/>
      <c r="V19" s="488"/>
    </row>
    <row r="20" spans="1:22" x14ac:dyDescent="0.25">
      <c r="A20" s="491"/>
      <c r="B20" s="488"/>
      <c r="C20" s="488"/>
      <c r="D20" s="478"/>
      <c r="E20" s="478"/>
      <c r="F20" s="478"/>
      <c r="G20" s="478"/>
      <c r="H20" s="478"/>
      <c r="I20" s="478"/>
      <c r="J20" s="478"/>
      <c r="K20" s="478"/>
      <c r="L20" s="486"/>
      <c r="M20" s="478"/>
      <c r="N20" s="478"/>
      <c r="O20" s="486"/>
      <c r="P20" s="486"/>
      <c r="Q20" s="478"/>
      <c r="R20" s="478"/>
      <c r="S20" s="486"/>
      <c r="T20" s="486"/>
      <c r="U20" s="491"/>
      <c r="V20" s="488"/>
    </row>
    <row r="21" spans="1:22" ht="15.75" x14ac:dyDescent="0.25">
      <c r="A21" s="50">
        <v>1</v>
      </c>
      <c r="B21" s="50">
        <v>2</v>
      </c>
      <c r="C21" s="50">
        <v>3</v>
      </c>
      <c r="D21" s="50">
        <v>4</v>
      </c>
      <c r="E21" s="50">
        <v>5</v>
      </c>
      <c r="F21" s="50">
        <v>6</v>
      </c>
      <c r="G21" s="50">
        <v>7</v>
      </c>
      <c r="H21" s="50">
        <v>8</v>
      </c>
      <c r="I21" s="50">
        <v>9</v>
      </c>
      <c r="J21" s="50">
        <v>10</v>
      </c>
      <c r="K21" s="50">
        <v>11</v>
      </c>
      <c r="L21" s="50">
        <v>12</v>
      </c>
      <c r="M21" s="50">
        <v>13</v>
      </c>
      <c r="N21" s="50">
        <v>14</v>
      </c>
      <c r="O21" s="50">
        <v>15</v>
      </c>
      <c r="P21" s="50">
        <v>16</v>
      </c>
      <c r="Q21" s="50">
        <v>17</v>
      </c>
      <c r="R21" s="50">
        <v>18</v>
      </c>
      <c r="S21" s="50">
        <v>19</v>
      </c>
      <c r="T21" s="50">
        <v>20</v>
      </c>
      <c r="U21" s="50">
        <v>21</v>
      </c>
      <c r="V21" s="50">
        <v>22</v>
      </c>
    </row>
    <row r="22" spans="1:22" ht="76.5" customHeight="1" x14ac:dyDescent="0.25">
      <c r="A22" s="350">
        <v>1</v>
      </c>
      <c r="B22" s="350" t="s">
        <v>649</v>
      </c>
      <c r="C22" s="350" t="s">
        <v>650</v>
      </c>
      <c r="D22" s="354">
        <v>199.54909502262441</v>
      </c>
      <c r="E22" s="354">
        <f>D22*1.04</f>
        <v>207.53105882352941</v>
      </c>
      <c r="F22" s="354">
        <v>88.4</v>
      </c>
      <c r="G22" s="354">
        <v>12</v>
      </c>
      <c r="H22" s="354">
        <f>E22*F22*G22</f>
        <v>220148.94720000002</v>
      </c>
      <c r="I22" s="354"/>
      <c r="J22" s="354"/>
      <c r="K22" s="354"/>
      <c r="L22" s="354"/>
      <c r="M22" s="354"/>
      <c r="N22" s="354"/>
      <c r="O22" s="354"/>
      <c r="P22" s="354"/>
      <c r="Q22" s="354"/>
      <c r="R22" s="354"/>
      <c r="S22" s="354"/>
      <c r="T22" s="354"/>
      <c r="U22" s="354"/>
      <c r="V22" s="354">
        <f>H22</f>
        <v>220148.94720000002</v>
      </c>
    </row>
    <row r="23" spans="1:22" ht="24" customHeight="1" x14ac:dyDescent="0.25">
      <c r="A23" s="350">
        <v>2</v>
      </c>
      <c r="B23" s="479" t="s">
        <v>777</v>
      </c>
      <c r="C23" s="480"/>
      <c r="D23" s="480"/>
      <c r="E23" s="480"/>
      <c r="F23" s="480"/>
      <c r="G23" s="480"/>
      <c r="H23" s="480"/>
      <c r="I23" s="480"/>
      <c r="J23" s="480"/>
      <c r="K23" s="480"/>
      <c r="L23" s="480"/>
      <c r="M23" s="480"/>
      <c r="N23" s="480"/>
      <c r="O23" s="480"/>
      <c r="P23" s="480"/>
      <c r="Q23" s="480"/>
      <c r="R23" s="480"/>
      <c r="S23" s="480"/>
      <c r="T23" s="480"/>
      <c r="U23" s="496"/>
      <c r="V23" s="42">
        <v>26460.21</v>
      </c>
    </row>
    <row r="24" spans="1:22" ht="24" customHeight="1" x14ac:dyDescent="0.25">
      <c r="A24" s="357"/>
      <c r="B24" s="52" t="s">
        <v>360</v>
      </c>
      <c r="C24" s="53" t="s">
        <v>19</v>
      </c>
      <c r="D24" s="53" t="s">
        <v>361</v>
      </c>
      <c r="E24" s="53"/>
      <c r="F24" s="53" t="s">
        <v>361</v>
      </c>
      <c r="G24" s="53" t="s">
        <v>361</v>
      </c>
      <c r="H24" s="356"/>
      <c r="I24" s="53" t="s">
        <v>361</v>
      </c>
      <c r="J24" s="53"/>
      <c r="K24" s="53" t="s">
        <v>361</v>
      </c>
      <c r="L24" s="53" t="s">
        <v>361</v>
      </c>
      <c r="M24" s="356"/>
      <c r="N24" s="53" t="s">
        <v>19</v>
      </c>
      <c r="O24" s="53"/>
      <c r="P24" s="53" t="s">
        <v>19</v>
      </c>
      <c r="Q24" s="356"/>
      <c r="R24" s="53" t="s">
        <v>19</v>
      </c>
      <c r="S24" s="53"/>
      <c r="T24" s="53" t="s">
        <v>19</v>
      </c>
      <c r="U24" s="356"/>
      <c r="V24" s="42">
        <f>V22+V23</f>
        <v>246609.15720000002</v>
      </c>
    </row>
    <row r="25" spans="1:22" ht="15.75" x14ac:dyDescent="0.25">
      <c r="A25" s="482"/>
      <c r="B25" s="482"/>
      <c r="C25" s="482"/>
      <c r="D25" s="482"/>
      <c r="E25" s="482"/>
      <c r="F25" s="482"/>
      <c r="G25" s="482"/>
      <c r="H25" s="482"/>
      <c r="I25" s="482"/>
      <c r="J25" s="482"/>
      <c r="K25" s="482"/>
      <c r="L25" s="482"/>
      <c r="M25" s="482"/>
      <c r="N25" s="482"/>
      <c r="O25" s="482"/>
      <c r="P25" s="482"/>
      <c r="Q25" s="482"/>
      <c r="R25" s="482"/>
      <c r="S25" s="482"/>
    </row>
    <row r="26" spans="1:22" ht="15.75" x14ac:dyDescent="0.25">
      <c r="A26" s="482"/>
      <c r="B26" s="482"/>
      <c r="C26" s="482"/>
      <c r="D26" s="482"/>
      <c r="E26" s="482"/>
      <c r="F26" s="482"/>
      <c r="G26" s="482"/>
      <c r="H26" s="482"/>
      <c r="I26" s="482"/>
      <c r="J26" s="482"/>
      <c r="K26" s="482"/>
      <c r="L26" s="482"/>
      <c r="M26" s="482"/>
      <c r="N26" s="482"/>
      <c r="O26" s="482"/>
      <c r="P26" s="482"/>
      <c r="Q26" s="482"/>
      <c r="R26" s="482"/>
      <c r="S26" s="482"/>
    </row>
    <row r="27" spans="1:22" ht="15.75" x14ac:dyDescent="0.25">
      <c r="A27" s="328"/>
    </row>
    <row r="28" spans="1:22" ht="15.75" x14ac:dyDescent="0.25">
      <c r="A28" s="328"/>
    </row>
    <row r="29" spans="1:22" ht="15.75" x14ac:dyDescent="0.25">
      <c r="A29" s="328"/>
    </row>
    <row r="30" spans="1:22" ht="15.75" x14ac:dyDescent="0.25">
      <c r="A30" s="328"/>
    </row>
    <row r="31" spans="1:22" s="446" customFormat="1" ht="15.75" x14ac:dyDescent="0.25">
      <c r="A31" s="446" t="s">
        <v>362</v>
      </c>
    </row>
    <row r="32" spans="1:22" ht="15.75" x14ac:dyDescent="0.25">
      <c r="A32" s="332"/>
      <c r="B32" s="47"/>
      <c r="C32" s="47"/>
    </row>
    <row r="33" spans="1:24" ht="17.25" customHeight="1" x14ac:dyDescent="0.25">
      <c r="A33" s="447" t="s">
        <v>349</v>
      </c>
      <c r="B33" s="447"/>
      <c r="C33" s="447"/>
      <c r="D33" s="447"/>
      <c r="E33" s="447"/>
      <c r="F33" s="448">
        <v>131</v>
      </c>
      <c r="G33" s="448"/>
    </row>
    <row r="34" spans="1:24" x14ac:dyDescent="0.25">
      <c r="A34" s="338"/>
      <c r="B34" s="449"/>
      <c r="C34" s="449"/>
    </row>
    <row r="35" spans="1:24" ht="21" customHeight="1" x14ac:dyDescent="0.25">
      <c r="A35" s="450" t="s">
        <v>351</v>
      </c>
      <c r="B35" s="450"/>
      <c r="C35" s="450"/>
      <c r="D35" s="450"/>
      <c r="E35" s="450"/>
      <c r="F35" s="451" t="s">
        <v>392</v>
      </c>
      <c r="G35" s="451"/>
      <c r="H35" s="451"/>
      <c r="I35" s="451"/>
      <c r="J35" s="451"/>
      <c r="M35" s="49"/>
      <c r="N35" s="49"/>
      <c r="O35" s="49"/>
    </row>
    <row r="36" spans="1:24" x14ac:dyDescent="0.25">
      <c r="A36" s="338"/>
      <c r="B36" s="48"/>
      <c r="C36" s="48"/>
    </row>
    <row r="37" spans="1:24" ht="56.25" customHeight="1" x14ac:dyDescent="0.25">
      <c r="A37" s="424" t="s">
        <v>193</v>
      </c>
      <c r="B37" s="427" t="s">
        <v>363</v>
      </c>
      <c r="C37" s="428"/>
      <c r="D37" s="429" t="s">
        <v>364</v>
      </c>
      <c r="E37" s="431"/>
      <c r="F37" s="429" t="s">
        <v>365</v>
      </c>
      <c r="G37" s="431"/>
      <c r="H37" s="424" t="s">
        <v>413</v>
      </c>
      <c r="I37" s="429" t="s">
        <v>414</v>
      </c>
      <c r="J37" s="430"/>
      <c r="K37" s="509" t="s">
        <v>415</v>
      </c>
      <c r="L37" s="510"/>
      <c r="M37" s="510"/>
      <c r="N37" s="511"/>
      <c r="O37" s="506" t="s">
        <v>416</v>
      </c>
      <c r="P37" s="506" t="s">
        <v>366</v>
      </c>
      <c r="Q37" s="514" t="s">
        <v>417</v>
      </c>
      <c r="R37" s="515"/>
    </row>
    <row r="38" spans="1:24" ht="27" customHeight="1" x14ac:dyDescent="0.25">
      <c r="A38" s="425"/>
      <c r="B38" s="492"/>
      <c r="C38" s="493"/>
      <c r="D38" s="424" t="s">
        <v>367</v>
      </c>
      <c r="E38" s="424" t="s">
        <v>368</v>
      </c>
      <c r="F38" s="424" t="s">
        <v>367</v>
      </c>
      <c r="G38" s="424" t="s">
        <v>368</v>
      </c>
      <c r="H38" s="425"/>
      <c r="I38" s="427" t="s">
        <v>418</v>
      </c>
      <c r="J38" s="427" t="s">
        <v>419</v>
      </c>
      <c r="K38" s="512">
        <v>0.5</v>
      </c>
      <c r="L38" s="513"/>
      <c r="M38" s="512">
        <v>1</v>
      </c>
      <c r="N38" s="513"/>
      <c r="O38" s="507"/>
      <c r="P38" s="507"/>
      <c r="Q38" s="516"/>
      <c r="R38" s="517"/>
    </row>
    <row r="39" spans="1:24" ht="79.5" customHeight="1" x14ac:dyDescent="0.25">
      <c r="A39" s="426"/>
      <c r="B39" s="494"/>
      <c r="C39" s="495"/>
      <c r="D39" s="426"/>
      <c r="E39" s="426"/>
      <c r="F39" s="426"/>
      <c r="G39" s="426"/>
      <c r="H39" s="426"/>
      <c r="I39" s="494"/>
      <c r="J39" s="494"/>
      <c r="K39" s="57" t="s">
        <v>367</v>
      </c>
      <c r="L39" s="57" t="s">
        <v>368</v>
      </c>
      <c r="M39" s="57" t="s">
        <v>367</v>
      </c>
      <c r="N39" s="57" t="s">
        <v>368</v>
      </c>
      <c r="O39" s="508"/>
      <c r="P39" s="508"/>
      <c r="Q39" s="518"/>
      <c r="R39" s="519"/>
    </row>
    <row r="40" spans="1:24" ht="15.75" x14ac:dyDescent="0.25">
      <c r="A40" s="327">
        <v>1</v>
      </c>
      <c r="B40" s="455">
        <v>2</v>
      </c>
      <c r="C40" s="481"/>
      <c r="D40" s="44">
        <v>3</v>
      </c>
      <c r="E40" s="44">
        <v>4</v>
      </c>
      <c r="F40" s="44">
        <v>5</v>
      </c>
      <c r="G40" s="44">
        <v>6</v>
      </c>
      <c r="H40" s="44">
        <v>7</v>
      </c>
      <c r="I40" s="54">
        <v>8</v>
      </c>
      <c r="J40" s="59">
        <v>9</v>
      </c>
      <c r="K40" s="58">
        <v>10</v>
      </c>
      <c r="L40" s="58">
        <v>11</v>
      </c>
      <c r="M40" s="58">
        <v>12</v>
      </c>
      <c r="N40" s="58">
        <v>13</v>
      </c>
      <c r="O40" s="58">
        <v>14</v>
      </c>
      <c r="P40" s="58">
        <v>15</v>
      </c>
      <c r="Q40" s="498">
        <v>16</v>
      </c>
      <c r="R40" s="498"/>
    </row>
    <row r="41" spans="1:24" ht="55.5" customHeight="1" x14ac:dyDescent="0.25">
      <c r="A41" s="352">
        <v>1</v>
      </c>
      <c r="B41" s="479" t="s">
        <v>369</v>
      </c>
      <c r="C41" s="480"/>
      <c r="D41" s="11">
        <v>109.44</v>
      </c>
      <c r="E41" s="11">
        <v>36.479999999999997</v>
      </c>
      <c r="F41" s="60">
        <v>37</v>
      </c>
      <c r="G41" s="60">
        <v>31</v>
      </c>
      <c r="H41" s="60">
        <v>130</v>
      </c>
      <c r="I41" s="359">
        <f>D41*F41*H41</f>
        <v>526406.40000000002</v>
      </c>
      <c r="J41" s="359">
        <f>E41*G41*H41</f>
        <v>147014.39999999999</v>
      </c>
      <c r="K41" s="61">
        <v>8</v>
      </c>
      <c r="L41" s="61"/>
      <c r="M41" s="61"/>
      <c r="N41" s="61"/>
      <c r="O41" s="353">
        <f>(D41*H41*K41)*50%+(E41*H41*L41)*50%+(D41*H41*M41)*100%+(E41*H41*N41)*100%</f>
        <v>56908.799999999996</v>
      </c>
      <c r="P41" s="61"/>
      <c r="Q41" s="499">
        <f>I41+J41-O41-P41</f>
        <v>616512</v>
      </c>
      <c r="R41" s="499"/>
    </row>
    <row r="42" spans="1:24" ht="55.5" customHeight="1" x14ac:dyDescent="0.25">
      <c r="A42" s="352">
        <v>2</v>
      </c>
      <c r="B42" s="479" t="s">
        <v>370</v>
      </c>
      <c r="C42" s="480"/>
      <c r="D42" s="11">
        <v>135.16</v>
      </c>
      <c r="E42" s="11">
        <v>45.05</v>
      </c>
      <c r="F42" s="60">
        <v>527</v>
      </c>
      <c r="G42" s="60">
        <v>0</v>
      </c>
      <c r="H42" s="60">
        <v>140</v>
      </c>
      <c r="I42" s="359">
        <f>D42*F42*H42</f>
        <v>9972104.7999999989</v>
      </c>
      <c r="J42" s="359">
        <f>E42*G42*H42</f>
        <v>0</v>
      </c>
      <c r="K42" s="61">
        <v>91</v>
      </c>
      <c r="L42" s="61"/>
      <c r="M42" s="61">
        <v>22</v>
      </c>
      <c r="N42" s="61"/>
      <c r="O42" s="353">
        <f>(D42*H42*K42)*50%+(E42*H42*L42)*50%+(D42*H42*M42)*100%+(E42*H42*N42)*100%+3354.8</f>
        <v>1280616.8</v>
      </c>
      <c r="P42" s="61"/>
      <c r="Q42" s="499">
        <f>I42+J42-O42-P42</f>
        <v>8691487.9999999981</v>
      </c>
      <c r="R42" s="499"/>
    </row>
    <row r="43" spans="1:24" ht="38.25" customHeight="1" x14ac:dyDescent="0.25">
      <c r="A43" s="355"/>
      <c r="B43" s="455" t="s">
        <v>260</v>
      </c>
      <c r="C43" s="481"/>
      <c r="D43" s="351" t="s">
        <v>19</v>
      </c>
      <c r="E43" s="351" t="s">
        <v>19</v>
      </c>
      <c r="F43" s="60">
        <f>SUM(F41:F42)</f>
        <v>564</v>
      </c>
      <c r="G43" s="60">
        <f>SUM(G41:G42)</f>
        <v>31</v>
      </c>
      <c r="H43" s="351"/>
      <c r="I43" s="359">
        <f>SUM(I41:I42)</f>
        <v>10498511.199999999</v>
      </c>
      <c r="J43" s="359">
        <f t="shared" ref="J43:P43" si="0">SUM(J41:J42)</f>
        <v>147014.39999999999</v>
      </c>
      <c r="K43" s="61">
        <f t="shared" si="0"/>
        <v>99</v>
      </c>
      <c r="L43" s="61">
        <f t="shared" si="0"/>
        <v>0</v>
      </c>
      <c r="M43" s="61">
        <f t="shared" si="0"/>
        <v>22</v>
      </c>
      <c r="N43" s="61">
        <f t="shared" si="0"/>
        <v>0</v>
      </c>
      <c r="O43" s="353">
        <f t="shared" si="0"/>
        <v>1337525.6000000001</v>
      </c>
      <c r="P43" s="61">
        <f t="shared" si="0"/>
        <v>0</v>
      </c>
      <c r="Q43" s="499">
        <f>I43+J43-O43-P43</f>
        <v>9308000</v>
      </c>
      <c r="R43" s="499"/>
      <c r="W43" s="211"/>
      <c r="X43" s="211"/>
    </row>
    <row r="44" spans="1:24" ht="15.75" x14ac:dyDescent="0.25">
      <c r="A44" s="328"/>
      <c r="W44" s="211"/>
    </row>
    <row r="45" spans="1:24" ht="15.75" x14ac:dyDescent="0.25">
      <c r="A45" s="328"/>
    </row>
    <row r="46" spans="1:24" s="446" customFormat="1" ht="15.75" x14ac:dyDescent="0.25">
      <c r="A46" s="446" t="s">
        <v>371</v>
      </c>
    </row>
    <row r="47" spans="1:24" ht="15.75" x14ac:dyDescent="0.25">
      <c r="A47" s="332"/>
      <c r="B47" s="337"/>
      <c r="C47" s="337"/>
    </row>
    <row r="48" spans="1:24" ht="17.25" customHeight="1" x14ac:dyDescent="0.25">
      <c r="A48" s="447" t="s">
        <v>349</v>
      </c>
      <c r="B48" s="447"/>
      <c r="C48" s="447"/>
      <c r="D48" s="447"/>
      <c r="E48" s="447"/>
      <c r="F48" s="448">
        <v>131</v>
      </c>
      <c r="G48" s="448"/>
    </row>
    <row r="49" spans="1:18" x14ac:dyDescent="0.25">
      <c r="A49" s="338"/>
      <c r="B49" s="449"/>
      <c r="C49" s="449"/>
    </row>
    <row r="50" spans="1:18" ht="21" customHeight="1" x14ac:dyDescent="0.25">
      <c r="A50" s="450" t="s">
        <v>351</v>
      </c>
      <c r="B50" s="450"/>
      <c r="C50" s="450"/>
      <c r="D50" s="450"/>
      <c r="E50" s="450"/>
      <c r="F50" s="451" t="s">
        <v>392</v>
      </c>
      <c r="G50" s="451"/>
      <c r="H50" s="451"/>
      <c r="I50" s="451"/>
      <c r="J50" s="451"/>
      <c r="M50" s="335"/>
      <c r="N50" s="335"/>
      <c r="O50" s="335"/>
    </row>
    <row r="51" spans="1:18" x14ac:dyDescent="0.25">
      <c r="A51" s="338"/>
      <c r="B51" s="336"/>
      <c r="C51" s="336"/>
    </row>
    <row r="52" spans="1:18" ht="15.75" x14ac:dyDescent="0.25">
      <c r="A52" s="330"/>
    </row>
    <row r="53" spans="1:18" ht="31.5" customHeight="1" x14ac:dyDescent="0.25">
      <c r="A53" s="452" t="s">
        <v>193</v>
      </c>
      <c r="B53" s="437" t="s">
        <v>399</v>
      </c>
      <c r="C53" s="437"/>
      <c r="D53" s="437"/>
      <c r="E53" s="437"/>
      <c r="F53" s="437"/>
      <c r="G53" s="437"/>
      <c r="H53" s="437"/>
      <c r="I53" s="437" t="s">
        <v>372</v>
      </c>
      <c r="J53" s="437"/>
      <c r="K53" s="437" t="s">
        <v>398</v>
      </c>
      <c r="L53" s="437"/>
      <c r="M53" s="437" t="s">
        <v>397</v>
      </c>
      <c r="N53" s="437"/>
      <c r="O53" s="437" t="s">
        <v>373</v>
      </c>
      <c r="P53" s="437"/>
      <c r="Q53" s="437" t="s">
        <v>396</v>
      </c>
      <c r="R53" s="437"/>
    </row>
    <row r="54" spans="1:18" x14ac:dyDescent="0.25">
      <c r="A54" s="453"/>
      <c r="B54" s="437"/>
      <c r="C54" s="437"/>
      <c r="D54" s="437"/>
      <c r="E54" s="437"/>
      <c r="F54" s="437"/>
      <c r="G54" s="437"/>
      <c r="H54" s="437"/>
      <c r="I54" s="437"/>
      <c r="J54" s="437"/>
      <c r="K54" s="437"/>
      <c r="L54" s="437"/>
      <c r="M54" s="437"/>
      <c r="N54" s="437"/>
      <c r="O54" s="437"/>
      <c r="P54" s="437"/>
      <c r="Q54" s="437"/>
      <c r="R54" s="437"/>
    </row>
    <row r="55" spans="1:18" ht="32.25" customHeight="1" x14ac:dyDescent="0.25">
      <c r="A55" s="454"/>
      <c r="B55" s="437"/>
      <c r="C55" s="437"/>
      <c r="D55" s="437"/>
      <c r="E55" s="437"/>
      <c r="F55" s="437"/>
      <c r="G55" s="437"/>
      <c r="H55" s="437"/>
      <c r="I55" s="437"/>
      <c r="J55" s="437"/>
      <c r="K55" s="437"/>
      <c r="L55" s="437"/>
      <c r="M55" s="437"/>
      <c r="N55" s="437"/>
      <c r="O55" s="437"/>
      <c r="P55" s="437"/>
      <c r="Q55" s="437"/>
      <c r="R55" s="437"/>
    </row>
    <row r="56" spans="1:18" ht="15.75" x14ac:dyDescent="0.25">
      <c r="A56" s="327">
        <v>1</v>
      </c>
      <c r="B56" s="437">
        <v>2</v>
      </c>
      <c r="C56" s="437"/>
      <c r="D56" s="437"/>
      <c r="E56" s="437"/>
      <c r="F56" s="437"/>
      <c r="G56" s="437"/>
      <c r="H56" s="437"/>
      <c r="I56" s="455">
        <v>3</v>
      </c>
      <c r="J56" s="456"/>
      <c r="K56" s="455">
        <v>4</v>
      </c>
      <c r="L56" s="456"/>
      <c r="M56" s="455">
        <v>5</v>
      </c>
      <c r="N56" s="456"/>
      <c r="O56" s="455">
        <v>6</v>
      </c>
      <c r="P56" s="456"/>
      <c r="Q56" s="437">
        <v>7</v>
      </c>
      <c r="R56" s="437"/>
    </row>
    <row r="57" spans="1:18" x14ac:dyDescent="0.25">
      <c r="A57" s="350">
        <v>1</v>
      </c>
      <c r="B57" s="441" t="s">
        <v>734</v>
      </c>
      <c r="C57" s="441"/>
      <c r="D57" s="441"/>
      <c r="E57" s="441"/>
      <c r="F57" s="441"/>
      <c r="G57" s="441"/>
      <c r="H57" s="441"/>
      <c r="I57" s="416">
        <v>14</v>
      </c>
      <c r="J57" s="416"/>
      <c r="K57" s="416">
        <v>180</v>
      </c>
      <c r="L57" s="416"/>
      <c r="M57" s="442">
        <v>1440</v>
      </c>
      <c r="N57" s="442"/>
      <c r="O57" s="416">
        <v>6</v>
      </c>
      <c r="P57" s="416"/>
      <c r="Q57" s="442">
        <f>I57*M57*O57</f>
        <v>120960</v>
      </c>
      <c r="R57" s="442"/>
    </row>
    <row r="58" spans="1:18" x14ac:dyDescent="0.25">
      <c r="A58" s="350">
        <v>2</v>
      </c>
      <c r="B58" s="441" t="s">
        <v>735</v>
      </c>
      <c r="C58" s="441"/>
      <c r="D58" s="441"/>
      <c r="E58" s="441"/>
      <c r="F58" s="441"/>
      <c r="G58" s="441"/>
      <c r="H58" s="441"/>
      <c r="I58" s="416">
        <v>7</v>
      </c>
      <c r="J58" s="416"/>
      <c r="K58" s="416">
        <v>180</v>
      </c>
      <c r="L58" s="416"/>
      <c r="M58" s="442">
        <v>1440</v>
      </c>
      <c r="N58" s="442"/>
      <c r="O58" s="416">
        <v>6</v>
      </c>
      <c r="P58" s="416"/>
      <c r="Q58" s="442">
        <f t="shared" ref="Q58:Q77" si="1">I58*M58*O58</f>
        <v>60480</v>
      </c>
      <c r="R58" s="442"/>
    </row>
    <row r="59" spans="1:18" x14ac:dyDescent="0.25">
      <c r="A59" s="350">
        <v>3</v>
      </c>
      <c r="B59" s="441" t="s">
        <v>736</v>
      </c>
      <c r="C59" s="441"/>
      <c r="D59" s="441"/>
      <c r="E59" s="441"/>
      <c r="F59" s="441"/>
      <c r="G59" s="441"/>
      <c r="H59" s="441"/>
      <c r="I59" s="416">
        <v>65</v>
      </c>
      <c r="J59" s="416"/>
      <c r="K59" s="416">
        <v>90</v>
      </c>
      <c r="L59" s="416"/>
      <c r="M59" s="442">
        <v>720</v>
      </c>
      <c r="N59" s="442"/>
      <c r="O59" s="416">
        <v>6</v>
      </c>
      <c r="P59" s="416"/>
      <c r="Q59" s="442">
        <f t="shared" si="1"/>
        <v>280800</v>
      </c>
      <c r="R59" s="442"/>
    </row>
    <row r="60" spans="1:18" x14ac:dyDescent="0.25">
      <c r="A60" s="350">
        <v>4</v>
      </c>
      <c r="B60" s="441" t="s">
        <v>737</v>
      </c>
      <c r="C60" s="441"/>
      <c r="D60" s="441"/>
      <c r="E60" s="441"/>
      <c r="F60" s="441"/>
      <c r="G60" s="441"/>
      <c r="H60" s="441"/>
      <c r="I60" s="416">
        <v>60</v>
      </c>
      <c r="J60" s="416"/>
      <c r="K60" s="416">
        <v>90</v>
      </c>
      <c r="L60" s="416"/>
      <c r="M60" s="442">
        <v>720</v>
      </c>
      <c r="N60" s="442"/>
      <c r="O60" s="416">
        <v>6</v>
      </c>
      <c r="P60" s="416"/>
      <c r="Q60" s="442">
        <f>I60*M60*O60+560</f>
        <v>259760</v>
      </c>
      <c r="R60" s="442"/>
    </row>
    <row r="61" spans="1:18" x14ac:dyDescent="0.25">
      <c r="A61" s="350">
        <v>5</v>
      </c>
      <c r="B61" s="441" t="s">
        <v>738</v>
      </c>
      <c r="C61" s="441"/>
      <c r="D61" s="441"/>
      <c r="E61" s="441"/>
      <c r="F61" s="441"/>
      <c r="G61" s="441"/>
      <c r="H61" s="441"/>
      <c r="I61" s="416">
        <v>11</v>
      </c>
      <c r="J61" s="416"/>
      <c r="K61" s="416">
        <v>90</v>
      </c>
      <c r="L61" s="416"/>
      <c r="M61" s="442">
        <v>720</v>
      </c>
      <c r="N61" s="442"/>
      <c r="O61" s="416">
        <v>6</v>
      </c>
      <c r="P61" s="416"/>
      <c r="Q61" s="442">
        <f t="shared" si="1"/>
        <v>47520</v>
      </c>
      <c r="R61" s="442"/>
    </row>
    <row r="62" spans="1:18" x14ac:dyDescent="0.25">
      <c r="A62" s="350">
        <v>6</v>
      </c>
      <c r="B62" s="441" t="s">
        <v>739</v>
      </c>
      <c r="C62" s="441"/>
      <c r="D62" s="441"/>
      <c r="E62" s="441"/>
      <c r="F62" s="441"/>
      <c r="G62" s="441"/>
      <c r="H62" s="441"/>
      <c r="I62" s="416">
        <v>35</v>
      </c>
      <c r="J62" s="416"/>
      <c r="K62" s="416">
        <v>200</v>
      </c>
      <c r="L62" s="416"/>
      <c r="M62" s="442">
        <v>1600</v>
      </c>
      <c r="N62" s="442"/>
      <c r="O62" s="416">
        <v>6</v>
      </c>
      <c r="P62" s="416"/>
      <c r="Q62" s="442">
        <f>I62*M62*O62-2000</f>
        <v>334000</v>
      </c>
      <c r="R62" s="442"/>
    </row>
    <row r="63" spans="1:18" x14ac:dyDescent="0.25">
      <c r="A63" s="350">
        <v>7</v>
      </c>
      <c r="B63" s="441" t="s">
        <v>740</v>
      </c>
      <c r="C63" s="441"/>
      <c r="D63" s="441"/>
      <c r="E63" s="441"/>
      <c r="F63" s="441"/>
      <c r="G63" s="441"/>
      <c r="H63" s="441"/>
      <c r="I63" s="416">
        <v>36</v>
      </c>
      <c r="J63" s="416"/>
      <c r="K63" s="416">
        <v>110</v>
      </c>
      <c r="L63" s="416"/>
      <c r="M63" s="442">
        <v>880</v>
      </c>
      <c r="N63" s="442"/>
      <c r="O63" s="416">
        <v>6</v>
      </c>
      <c r="P63" s="416"/>
      <c r="Q63" s="442">
        <f t="shared" si="1"/>
        <v>190080</v>
      </c>
      <c r="R63" s="442"/>
    </row>
    <row r="64" spans="1:18" x14ac:dyDescent="0.25">
      <c r="A64" s="350">
        <v>8</v>
      </c>
      <c r="B64" s="441" t="s">
        <v>741</v>
      </c>
      <c r="C64" s="441"/>
      <c r="D64" s="441"/>
      <c r="E64" s="441"/>
      <c r="F64" s="441"/>
      <c r="G64" s="441"/>
      <c r="H64" s="441"/>
      <c r="I64" s="416">
        <v>16</v>
      </c>
      <c r="J64" s="416"/>
      <c r="K64" s="416">
        <v>190</v>
      </c>
      <c r="L64" s="416"/>
      <c r="M64" s="442">
        <v>1520</v>
      </c>
      <c r="N64" s="442"/>
      <c r="O64" s="416">
        <v>6</v>
      </c>
      <c r="P64" s="416"/>
      <c r="Q64" s="442">
        <f t="shared" si="1"/>
        <v>145920</v>
      </c>
      <c r="R64" s="442"/>
    </row>
    <row r="65" spans="1:23" x14ac:dyDescent="0.25">
      <c r="A65" s="350">
        <v>9</v>
      </c>
      <c r="B65" s="441" t="s">
        <v>742</v>
      </c>
      <c r="C65" s="441"/>
      <c r="D65" s="441"/>
      <c r="E65" s="441"/>
      <c r="F65" s="441"/>
      <c r="G65" s="441"/>
      <c r="H65" s="441"/>
      <c r="I65" s="416">
        <v>14</v>
      </c>
      <c r="J65" s="416"/>
      <c r="K65" s="416">
        <v>200</v>
      </c>
      <c r="L65" s="416"/>
      <c r="M65" s="442">
        <v>1600</v>
      </c>
      <c r="N65" s="442"/>
      <c r="O65" s="416">
        <v>6</v>
      </c>
      <c r="P65" s="416"/>
      <c r="Q65" s="442">
        <f t="shared" si="1"/>
        <v>134400</v>
      </c>
      <c r="R65" s="442"/>
    </row>
    <row r="66" spans="1:23" x14ac:dyDescent="0.25">
      <c r="A66" s="350">
        <v>10</v>
      </c>
      <c r="B66" s="441" t="s">
        <v>743</v>
      </c>
      <c r="C66" s="441"/>
      <c r="D66" s="441"/>
      <c r="E66" s="441"/>
      <c r="F66" s="441"/>
      <c r="G66" s="441"/>
      <c r="H66" s="441"/>
      <c r="I66" s="416">
        <v>22</v>
      </c>
      <c r="J66" s="416"/>
      <c r="K66" s="416">
        <v>180</v>
      </c>
      <c r="L66" s="416"/>
      <c r="M66" s="442">
        <v>1440</v>
      </c>
      <c r="N66" s="442"/>
      <c r="O66" s="416">
        <v>6</v>
      </c>
      <c r="P66" s="416"/>
      <c r="Q66" s="442">
        <f t="shared" si="1"/>
        <v>190080</v>
      </c>
      <c r="R66" s="442"/>
    </row>
    <row r="67" spans="1:23" x14ac:dyDescent="0.25">
      <c r="A67" s="350">
        <v>11</v>
      </c>
      <c r="B67" s="441" t="s">
        <v>744</v>
      </c>
      <c r="C67" s="441"/>
      <c r="D67" s="441"/>
      <c r="E67" s="441"/>
      <c r="F67" s="441"/>
      <c r="G67" s="441"/>
      <c r="H67" s="441"/>
      <c r="I67" s="416">
        <v>36</v>
      </c>
      <c r="J67" s="416"/>
      <c r="K67" s="416">
        <v>220</v>
      </c>
      <c r="L67" s="416"/>
      <c r="M67" s="442">
        <v>1760</v>
      </c>
      <c r="N67" s="442"/>
      <c r="O67" s="416">
        <v>6</v>
      </c>
      <c r="P67" s="416"/>
      <c r="Q67" s="442">
        <f t="shared" si="1"/>
        <v>380160</v>
      </c>
      <c r="R67" s="442"/>
    </row>
    <row r="68" spans="1:23" x14ac:dyDescent="0.25">
      <c r="A68" s="350">
        <v>12</v>
      </c>
      <c r="B68" s="441" t="s">
        <v>745</v>
      </c>
      <c r="C68" s="441"/>
      <c r="D68" s="441"/>
      <c r="E68" s="441"/>
      <c r="F68" s="441"/>
      <c r="G68" s="441"/>
      <c r="H68" s="441"/>
      <c r="I68" s="416">
        <v>54</v>
      </c>
      <c r="J68" s="416"/>
      <c r="K68" s="416">
        <v>200</v>
      </c>
      <c r="L68" s="416"/>
      <c r="M68" s="442">
        <v>1600</v>
      </c>
      <c r="N68" s="442"/>
      <c r="O68" s="416">
        <v>6</v>
      </c>
      <c r="P68" s="416"/>
      <c r="Q68" s="442">
        <f t="shared" si="1"/>
        <v>518400</v>
      </c>
      <c r="R68" s="442"/>
    </row>
    <row r="69" spans="1:23" x14ac:dyDescent="0.25">
      <c r="A69" s="350">
        <v>13</v>
      </c>
      <c r="B69" s="441" t="s">
        <v>746</v>
      </c>
      <c r="C69" s="441"/>
      <c r="D69" s="441"/>
      <c r="E69" s="441"/>
      <c r="F69" s="441"/>
      <c r="G69" s="441"/>
      <c r="H69" s="441"/>
      <c r="I69" s="416">
        <v>12</v>
      </c>
      <c r="J69" s="416"/>
      <c r="K69" s="416">
        <v>220</v>
      </c>
      <c r="L69" s="416"/>
      <c r="M69" s="442">
        <v>1760</v>
      </c>
      <c r="N69" s="442"/>
      <c r="O69" s="416">
        <v>6</v>
      </c>
      <c r="P69" s="416"/>
      <c r="Q69" s="442">
        <f t="shared" si="1"/>
        <v>126720</v>
      </c>
      <c r="R69" s="442"/>
    </row>
    <row r="70" spans="1:23" x14ac:dyDescent="0.25">
      <c r="A70" s="350">
        <v>14</v>
      </c>
      <c r="B70" s="441" t="s">
        <v>747</v>
      </c>
      <c r="C70" s="441"/>
      <c r="D70" s="441"/>
      <c r="E70" s="441"/>
      <c r="F70" s="441"/>
      <c r="G70" s="441"/>
      <c r="H70" s="441"/>
      <c r="I70" s="416">
        <v>13</v>
      </c>
      <c r="J70" s="416"/>
      <c r="K70" s="416">
        <v>200</v>
      </c>
      <c r="L70" s="416"/>
      <c r="M70" s="442">
        <v>1600</v>
      </c>
      <c r="N70" s="442"/>
      <c r="O70" s="416">
        <v>6</v>
      </c>
      <c r="P70" s="416"/>
      <c r="Q70" s="442">
        <f t="shared" si="1"/>
        <v>124800</v>
      </c>
      <c r="R70" s="442"/>
    </row>
    <row r="71" spans="1:23" x14ac:dyDescent="0.25">
      <c r="A71" s="350">
        <v>15</v>
      </c>
      <c r="B71" s="441" t="s">
        <v>748</v>
      </c>
      <c r="C71" s="441"/>
      <c r="D71" s="441"/>
      <c r="E71" s="441"/>
      <c r="F71" s="441"/>
      <c r="G71" s="441"/>
      <c r="H71" s="441"/>
      <c r="I71" s="416">
        <v>25</v>
      </c>
      <c r="J71" s="416"/>
      <c r="K71" s="416">
        <v>200</v>
      </c>
      <c r="L71" s="416"/>
      <c r="M71" s="442">
        <v>1600</v>
      </c>
      <c r="N71" s="442"/>
      <c r="O71" s="416">
        <v>6</v>
      </c>
      <c r="P71" s="416"/>
      <c r="Q71" s="442">
        <f t="shared" si="1"/>
        <v>240000</v>
      </c>
      <c r="R71" s="442"/>
    </row>
    <row r="72" spans="1:23" x14ac:dyDescent="0.25">
      <c r="A72" s="350">
        <v>16</v>
      </c>
      <c r="B72" s="441" t="s">
        <v>749</v>
      </c>
      <c r="C72" s="441"/>
      <c r="D72" s="441"/>
      <c r="E72" s="441"/>
      <c r="F72" s="441"/>
      <c r="G72" s="441"/>
      <c r="H72" s="441"/>
      <c r="I72" s="416">
        <v>6</v>
      </c>
      <c r="J72" s="416"/>
      <c r="K72" s="416">
        <v>90</v>
      </c>
      <c r="L72" s="416"/>
      <c r="M72" s="442">
        <v>720</v>
      </c>
      <c r="N72" s="442"/>
      <c r="O72" s="416">
        <v>6</v>
      </c>
      <c r="P72" s="416"/>
      <c r="Q72" s="442">
        <f t="shared" si="1"/>
        <v>25920</v>
      </c>
      <c r="R72" s="442"/>
    </row>
    <row r="73" spans="1:23" x14ac:dyDescent="0.25">
      <c r="A73" s="350">
        <v>17</v>
      </c>
      <c r="B73" s="441" t="s">
        <v>750</v>
      </c>
      <c r="C73" s="441"/>
      <c r="D73" s="441"/>
      <c r="E73" s="441"/>
      <c r="F73" s="441"/>
      <c r="G73" s="441"/>
      <c r="H73" s="441"/>
      <c r="I73" s="416">
        <v>11</v>
      </c>
      <c r="J73" s="416"/>
      <c r="K73" s="416">
        <v>100</v>
      </c>
      <c r="L73" s="416"/>
      <c r="M73" s="442">
        <v>800</v>
      </c>
      <c r="N73" s="442"/>
      <c r="O73" s="416">
        <v>6</v>
      </c>
      <c r="P73" s="416"/>
      <c r="Q73" s="442">
        <f t="shared" si="1"/>
        <v>52800</v>
      </c>
      <c r="R73" s="442"/>
    </row>
    <row r="74" spans="1:23" x14ac:dyDescent="0.25">
      <c r="A74" s="350">
        <v>18</v>
      </c>
      <c r="B74" s="441" t="s">
        <v>751</v>
      </c>
      <c r="C74" s="441"/>
      <c r="D74" s="441"/>
      <c r="E74" s="441"/>
      <c r="F74" s="441"/>
      <c r="G74" s="441"/>
      <c r="H74" s="441"/>
      <c r="I74" s="416">
        <v>36</v>
      </c>
      <c r="J74" s="416"/>
      <c r="K74" s="416">
        <v>180</v>
      </c>
      <c r="L74" s="416"/>
      <c r="M74" s="442">
        <v>1440</v>
      </c>
      <c r="N74" s="442"/>
      <c r="O74" s="416">
        <v>6</v>
      </c>
      <c r="P74" s="416"/>
      <c r="Q74" s="442">
        <f t="shared" si="1"/>
        <v>311040</v>
      </c>
      <c r="R74" s="442"/>
    </row>
    <row r="75" spans="1:23" x14ac:dyDescent="0.25">
      <c r="A75" s="350">
        <v>19</v>
      </c>
      <c r="B75" s="441" t="s">
        <v>752</v>
      </c>
      <c r="C75" s="441"/>
      <c r="D75" s="441"/>
      <c r="E75" s="441"/>
      <c r="F75" s="441"/>
      <c r="G75" s="441"/>
      <c r="H75" s="441"/>
      <c r="I75" s="416">
        <v>5</v>
      </c>
      <c r="J75" s="416"/>
      <c r="K75" s="416">
        <v>150</v>
      </c>
      <c r="L75" s="416"/>
      <c r="M75" s="442">
        <v>1200</v>
      </c>
      <c r="N75" s="442"/>
      <c r="O75" s="416">
        <v>6</v>
      </c>
      <c r="P75" s="416"/>
      <c r="Q75" s="442">
        <f t="shared" si="1"/>
        <v>36000</v>
      </c>
      <c r="R75" s="442"/>
    </row>
    <row r="76" spans="1:23" x14ac:dyDescent="0.25">
      <c r="A76" s="350">
        <v>20</v>
      </c>
      <c r="B76" s="441" t="s">
        <v>753</v>
      </c>
      <c r="C76" s="441"/>
      <c r="D76" s="441"/>
      <c r="E76" s="441"/>
      <c r="F76" s="441"/>
      <c r="G76" s="441"/>
      <c r="H76" s="441"/>
      <c r="I76" s="416">
        <v>7</v>
      </c>
      <c r="J76" s="416"/>
      <c r="K76" s="416">
        <v>250</v>
      </c>
      <c r="L76" s="416"/>
      <c r="M76" s="442">
        <v>2000</v>
      </c>
      <c r="N76" s="442"/>
      <c r="O76" s="416">
        <v>6</v>
      </c>
      <c r="P76" s="416"/>
      <c r="Q76" s="442">
        <f t="shared" si="1"/>
        <v>84000</v>
      </c>
      <c r="R76" s="442"/>
    </row>
    <row r="77" spans="1:23" x14ac:dyDescent="0.25">
      <c r="A77" s="350">
        <v>21</v>
      </c>
      <c r="B77" s="441" t="s">
        <v>754</v>
      </c>
      <c r="C77" s="441"/>
      <c r="D77" s="441"/>
      <c r="E77" s="441"/>
      <c r="F77" s="441"/>
      <c r="G77" s="441"/>
      <c r="H77" s="441"/>
      <c r="I77" s="416">
        <v>22</v>
      </c>
      <c r="J77" s="416"/>
      <c r="K77" s="416">
        <v>110</v>
      </c>
      <c r="L77" s="416"/>
      <c r="M77" s="442">
        <v>880</v>
      </c>
      <c r="N77" s="442"/>
      <c r="O77" s="416">
        <v>6</v>
      </c>
      <c r="P77" s="416"/>
      <c r="Q77" s="442">
        <f t="shared" si="1"/>
        <v>116160</v>
      </c>
      <c r="R77" s="442"/>
    </row>
    <row r="78" spans="1:23" ht="15.75" x14ac:dyDescent="0.25">
      <c r="A78" s="350"/>
      <c r="B78" s="437" t="s">
        <v>260</v>
      </c>
      <c r="C78" s="437"/>
      <c r="D78" s="437"/>
      <c r="E78" s="437"/>
      <c r="F78" s="437"/>
      <c r="G78" s="437"/>
      <c r="H78" s="437"/>
      <c r="I78" s="455"/>
      <c r="J78" s="456"/>
      <c r="K78" s="455" t="s">
        <v>361</v>
      </c>
      <c r="L78" s="456"/>
      <c r="M78" s="455" t="s">
        <v>361</v>
      </c>
      <c r="N78" s="456"/>
      <c r="O78" s="455" t="s">
        <v>19</v>
      </c>
      <c r="P78" s="456"/>
      <c r="Q78" s="442">
        <f>SUM(Q57:R77)</f>
        <v>3780000</v>
      </c>
      <c r="R78" s="442"/>
      <c r="W78" s="211"/>
    </row>
    <row r="79" spans="1:23" x14ac:dyDescent="0.25">
      <c r="A79" s="339"/>
    </row>
    <row r="80" spans="1:23" ht="15.75" x14ac:dyDescent="0.25">
      <c r="A80" s="328"/>
    </row>
    <row r="81" spans="1:18" s="446" customFormat="1" ht="15.75" x14ac:dyDescent="0.25">
      <c r="A81" s="446" t="s">
        <v>374</v>
      </c>
    </row>
    <row r="82" spans="1:18" ht="15.75" x14ac:dyDescent="0.25">
      <c r="A82" s="332"/>
      <c r="B82" s="47"/>
      <c r="C82" s="47"/>
    </row>
    <row r="83" spans="1:18" ht="17.25" customHeight="1" x14ac:dyDescent="0.25">
      <c r="A83" s="447" t="s">
        <v>349</v>
      </c>
      <c r="B83" s="447"/>
      <c r="C83" s="447"/>
      <c r="D83" s="447"/>
      <c r="E83" s="447"/>
      <c r="F83" s="448">
        <v>131</v>
      </c>
      <c r="G83" s="448"/>
    </row>
    <row r="84" spans="1:18" x14ac:dyDescent="0.25">
      <c r="A84" s="338"/>
      <c r="B84" s="449"/>
      <c r="C84" s="449"/>
    </row>
    <row r="85" spans="1:18" ht="21" customHeight="1" x14ac:dyDescent="0.25">
      <c r="A85" s="450" t="s">
        <v>351</v>
      </c>
      <c r="B85" s="450"/>
      <c r="C85" s="450"/>
      <c r="D85" s="450"/>
      <c r="E85" s="450"/>
      <c r="F85" s="451" t="s">
        <v>392</v>
      </c>
      <c r="G85" s="451"/>
      <c r="H85" s="451"/>
      <c r="I85" s="451"/>
      <c r="J85" s="451"/>
      <c r="M85" s="49"/>
      <c r="N85" s="49"/>
      <c r="O85" s="49"/>
    </row>
    <row r="86" spans="1:18" x14ac:dyDescent="0.25">
      <c r="A86" s="338"/>
      <c r="B86" s="48"/>
      <c r="C86" s="48"/>
    </row>
    <row r="87" spans="1:18" ht="15.75" x14ac:dyDescent="0.25">
      <c r="A87" s="330"/>
    </row>
    <row r="88" spans="1:18" ht="15.75" customHeight="1" x14ac:dyDescent="0.25">
      <c r="A88" s="437" t="s">
        <v>193</v>
      </c>
      <c r="B88" s="437" t="s">
        <v>375</v>
      </c>
      <c r="C88" s="437"/>
      <c r="D88" s="437"/>
      <c r="E88" s="437"/>
      <c r="F88" s="437"/>
      <c r="G88" s="437"/>
      <c r="H88" s="437" t="s">
        <v>372</v>
      </c>
      <c r="I88" s="437"/>
      <c r="J88" s="437" t="s">
        <v>397</v>
      </c>
      <c r="K88" s="437"/>
      <c r="L88" s="437"/>
      <c r="M88" s="437" t="s">
        <v>376</v>
      </c>
      <c r="N88" s="437"/>
      <c r="O88" s="437"/>
      <c r="P88" s="437"/>
      <c r="Q88" s="437" t="s">
        <v>400</v>
      </c>
      <c r="R88" s="437"/>
    </row>
    <row r="89" spans="1:18" x14ac:dyDescent="0.25">
      <c r="A89" s="437"/>
      <c r="B89" s="437"/>
      <c r="C89" s="437"/>
      <c r="D89" s="437"/>
      <c r="E89" s="437"/>
      <c r="F89" s="437"/>
      <c r="G89" s="437"/>
      <c r="H89" s="437"/>
      <c r="I89" s="437"/>
      <c r="J89" s="437"/>
      <c r="K89" s="437"/>
      <c r="L89" s="437"/>
      <c r="M89" s="437"/>
      <c r="N89" s="437"/>
      <c r="O89" s="437"/>
      <c r="P89" s="437"/>
      <c r="Q89" s="437"/>
      <c r="R89" s="437"/>
    </row>
    <row r="90" spans="1:18" ht="16.5" customHeight="1" x14ac:dyDescent="0.25">
      <c r="A90" s="437"/>
      <c r="B90" s="437"/>
      <c r="C90" s="437"/>
      <c r="D90" s="437"/>
      <c r="E90" s="437"/>
      <c r="F90" s="437"/>
      <c r="G90" s="437"/>
      <c r="H90" s="437"/>
      <c r="I90" s="437"/>
      <c r="J90" s="437"/>
      <c r="K90" s="437"/>
      <c r="L90" s="437"/>
      <c r="M90" s="437"/>
      <c r="N90" s="437"/>
      <c r="O90" s="437"/>
      <c r="P90" s="437"/>
      <c r="Q90" s="437"/>
      <c r="R90" s="437"/>
    </row>
    <row r="91" spans="1:18" ht="15.75" x14ac:dyDescent="0.25">
      <c r="A91" s="437"/>
      <c r="B91" s="437"/>
      <c r="C91" s="437"/>
      <c r="D91" s="437"/>
      <c r="E91" s="437"/>
      <c r="F91" s="437"/>
      <c r="G91" s="437"/>
      <c r="H91" s="437"/>
      <c r="I91" s="437"/>
      <c r="J91" s="43" t="s">
        <v>377</v>
      </c>
      <c r="K91" s="437" t="s">
        <v>378</v>
      </c>
      <c r="L91" s="437"/>
      <c r="M91" s="437" t="s">
        <v>377</v>
      </c>
      <c r="N91" s="437"/>
      <c r="O91" s="437" t="s">
        <v>378</v>
      </c>
      <c r="P91" s="437"/>
      <c r="Q91" s="437"/>
      <c r="R91" s="437"/>
    </row>
    <row r="92" spans="1:18" ht="15.75" x14ac:dyDescent="0.25">
      <c r="A92" s="327">
        <v>1</v>
      </c>
      <c r="B92" s="437">
        <v>2</v>
      </c>
      <c r="C92" s="437"/>
      <c r="D92" s="437"/>
      <c r="E92" s="437"/>
      <c r="F92" s="437"/>
      <c r="G92" s="437"/>
      <c r="H92" s="437">
        <v>3</v>
      </c>
      <c r="I92" s="437"/>
      <c r="J92" s="43">
        <v>4</v>
      </c>
      <c r="K92" s="437">
        <v>5</v>
      </c>
      <c r="L92" s="437"/>
      <c r="M92" s="437">
        <v>6</v>
      </c>
      <c r="N92" s="437"/>
      <c r="O92" s="437">
        <v>7</v>
      </c>
      <c r="P92" s="437"/>
      <c r="Q92" s="437">
        <v>8</v>
      </c>
      <c r="R92" s="437"/>
    </row>
    <row r="93" spans="1:18" ht="15.75" x14ac:dyDescent="0.25">
      <c r="A93" s="331"/>
      <c r="B93" s="469"/>
      <c r="C93" s="469"/>
      <c r="D93" s="469"/>
      <c r="E93" s="469"/>
      <c r="F93" s="469"/>
      <c r="G93" s="469"/>
      <c r="H93" s="437"/>
      <c r="I93" s="437"/>
      <c r="J93" s="51"/>
      <c r="K93" s="437"/>
      <c r="L93" s="437"/>
      <c r="M93" s="437"/>
      <c r="N93" s="437"/>
      <c r="O93" s="437"/>
      <c r="P93" s="437"/>
      <c r="Q93" s="437"/>
      <c r="R93" s="437"/>
    </row>
    <row r="94" spans="1:18" ht="15.75" x14ac:dyDescent="0.25">
      <c r="A94" s="331"/>
      <c r="B94" s="469"/>
      <c r="C94" s="469"/>
      <c r="D94" s="469"/>
      <c r="E94" s="469"/>
      <c r="F94" s="469"/>
      <c r="G94" s="469"/>
      <c r="H94" s="437"/>
      <c r="I94" s="437"/>
      <c r="J94" s="51"/>
      <c r="K94" s="437"/>
      <c r="L94" s="437"/>
      <c r="M94" s="437"/>
      <c r="N94" s="437"/>
      <c r="O94" s="437"/>
      <c r="P94" s="437"/>
      <c r="Q94" s="437"/>
      <c r="R94" s="437"/>
    </row>
    <row r="95" spans="1:18" ht="15.75" x14ac:dyDescent="0.25">
      <c r="A95" s="331"/>
      <c r="B95" s="437" t="s">
        <v>260</v>
      </c>
      <c r="C95" s="437"/>
      <c r="D95" s="437"/>
      <c r="E95" s="437"/>
      <c r="F95" s="437"/>
      <c r="G95" s="437"/>
      <c r="H95" s="437"/>
      <c r="I95" s="437"/>
      <c r="J95" s="43" t="s">
        <v>361</v>
      </c>
      <c r="K95" s="437"/>
      <c r="L95" s="437"/>
      <c r="M95" s="437"/>
      <c r="N95" s="437"/>
      <c r="O95" s="437"/>
      <c r="P95" s="437"/>
      <c r="Q95" s="437"/>
      <c r="R95" s="437"/>
    </row>
    <row r="96" spans="1:18" ht="15.75" x14ac:dyDescent="0.25">
      <c r="A96" s="338"/>
      <c r="B96" s="48"/>
      <c r="C96" s="47"/>
      <c r="D96" s="48"/>
      <c r="E96" s="47"/>
      <c r="F96" s="47"/>
      <c r="G96" s="47"/>
      <c r="H96" s="47"/>
    </row>
    <row r="97" spans="1:18" ht="15.75" x14ac:dyDescent="0.25">
      <c r="A97" s="330"/>
    </row>
    <row r="98" spans="1:18" ht="15.75" x14ac:dyDescent="0.25">
      <c r="A98" s="446" t="s">
        <v>379</v>
      </c>
      <c r="B98" s="446"/>
      <c r="C98" s="446"/>
      <c r="D98" s="446"/>
      <c r="E98" s="446"/>
      <c r="F98" s="446"/>
      <c r="G98" s="446"/>
      <c r="H98" s="446"/>
      <c r="I98" s="446"/>
      <c r="J98" s="446"/>
    </row>
    <row r="99" spans="1:18" ht="15.75" x14ac:dyDescent="0.25">
      <c r="A99" s="446" t="s">
        <v>380</v>
      </c>
      <c r="B99" s="446"/>
      <c r="C99" s="446"/>
      <c r="D99" s="446"/>
      <c r="E99" s="446"/>
      <c r="F99" s="446"/>
      <c r="G99" s="446"/>
      <c r="H99" s="446"/>
      <c r="I99" s="446"/>
      <c r="J99" s="446"/>
    </row>
    <row r="100" spans="1:18" ht="15.75" x14ac:dyDescent="0.25">
      <c r="A100" s="450"/>
      <c r="B100" s="450"/>
      <c r="C100" s="450"/>
      <c r="D100" s="450"/>
      <c r="E100" s="450"/>
      <c r="F100" s="450"/>
      <c r="G100" s="450"/>
      <c r="H100" s="450"/>
      <c r="I100" s="450"/>
      <c r="J100" s="450"/>
    </row>
    <row r="101" spans="1:18" ht="17.25" customHeight="1" x14ac:dyDescent="0.25">
      <c r="A101" s="447" t="s">
        <v>349</v>
      </c>
      <c r="B101" s="447"/>
      <c r="C101" s="447"/>
      <c r="D101" s="447"/>
      <c r="E101" s="447"/>
      <c r="F101" s="448" t="s">
        <v>401</v>
      </c>
      <c r="G101" s="448"/>
    </row>
    <row r="102" spans="1:18" x14ac:dyDescent="0.25">
      <c r="A102" s="338"/>
      <c r="B102" s="449"/>
      <c r="C102" s="449"/>
    </row>
    <row r="103" spans="1:18" ht="21" customHeight="1" x14ac:dyDescent="0.25">
      <c r="A103" s="450" t="s">
        <v>351</v>
      </c>
      <c r="B103" s="450"/>
      <c r="C103" s="450"/>
      <c r="D103" s="450"/>
      <c r="E103" s="450"/>
      <c r="F103" s="451" t="s">
        <v>392</v>
      </c>
      <c r="G103" s="451"/>
      <c r="H103" s="451"/>
      <c r="I103" s="451"/>
      <c r="J103" s="451"/>
      <c r="M103" s="335"/>
      <c r="N103" s="335"/>
      <c r="O103" s="335"/>
    </row>
    <row r="104" spans="1:18" ht="15.75" x14ac:dyDescent="0.25">
      <c r="A104" s="330"/>
    </row>
    <row r="105" spans="1:18" ht="102" customHeight="1" x14ac:dyDescent="0.25">
      <c r="A105" s="327" t="s">
        <v>193</v>
      </c>
      <c r="B105" s="437" t="s">
        <v>381</v>
      </c>
      <c r="C105" s="437"/>
      <c r="D105" s="437"/>
      <c r="E105" s="437"/>
      <c r="F105" s="437"/>
      <c r="G105" s="437"/>
      <c r="H105" s="437"/>
      <c r="I105" s="437"/>
      <c r="J105" s="437"/>
      <c r="K105" s="437" t="s">
        <v>405</v>
      </c>
      <c r="L105" s="437"/>
      <c r="M105" s="437" t="s">
        <v>404</v>
      </c>
      <c r="N105" s="437"/>
      <c r="O105" s="437" t="s">
        <v>403</v>
      </c>
      <c r="P105" s="437"/>
      <c r="Q105" s="437" t="s">
        <v>402</v>
      </c>
      <c r="R105" s="437"/>
    </row>
    <row r="106" spans="1:18" ht="15.75" x14ac:dyDescent="0.25">
      <c r="A106" s="327">
        <v>1</v>
      </c>
      <c r="B106" s="437">
        <v>2</v>
      </c>
      <c r="C106" s="437"/>
      <c r="D106" s="437"/>
      <c r="E106" s="437"/>
      <c r="F106" s="437"/>
      <c r="G106" s="437"/>
      <c r="H106" s="437"/>
      <c r="I106" s="437"/>
      <c r="J106" s="437"/>
      <c r="K106" s="437">
        <v>3</v>
      </c>
      <c r="L106" s="437"/>
      <c r="M106" s="437">
        <v>4</v>
      </c>
      <c r="N106" s="437"/>
      <c r="O106" s="437">
        <v>5</v>
      </c>
      <c r="P106" s="437"/>
      <c r="Q106" s="437">
        <v>6</v>
      </c>
      <c r="R106" s="437"/>
    </row>
    <row r="107" spans="1:18" x14ac:dyDescent="0.25">
      <c r="A107" s="358">
        <v>1</v>
      </c>
      <c r="B107" s="468" t="s">
        <v>728</v>
      </c>
      <c r="C107" s="468"/>
      <c r="D107" s="468"/>
      <c r="E107" s="468"/>
      <c r="F107" s="468"/>
      <c r="G107" s="468"/>
      <c r="H107" s="468"/>
      <c r="I107" s="468"/>
      <c r="J107" s="468"/>
      <c r="K107" s="459">
        <v>1385104</v>
      </c>
      <c r="L107" s="459"/>
      <c r="M107" s="459">
        <v>545</v>
      </c>
      <c r="N107" s="459"/>
      <c r="O107" s="459">
        <v>88.4</v>
      </c>
      <c r="P107" s="459"/>
      <c r="Q107" s="459">
        <f>K107/M107*O107</f>
        <v>224666.41027522937</v>
      </c>
      <c r="R107" s="459"/>
    </row>
    <row r="108" spans="1:18" x14ac:dyDescent="0.25">
      <c r="A108" s="358">
        <v>2</v>
      </c>
      <c r="B108" s="468" t="s">
        <v>727</v>
      </c>
      <c r="C108" s="468"/>
      <c r="D108" s="468"/>
      <c r="E108" s="468"/>
      <c r="F108" s="468"/>
      <c r="G108" s="468"/>
      <c r="H108" s="468"/>
      <c r="I108" s="468"/>
      <c r="J108" s="468"/>
      <c r="K108" s="459">
        <v>258073</v>
      </c>
      <c r="L108" s="459"/>
      <c r="M108" s="459">
        <v>545</v>
      </c>
      <c r="N108" s="459"/>
      <c r="O108" s="460">
        <v>88.4</v>
      </c>
      <c r="P108" s="460"/>
      <c r="Q108" s="459">
        <f t="shared" ref="Q108:Q112" si="2">K108/M108*O108</f>
        <v>41859.914128440367</v>
      </c>
      <c r="R108" s="459"/>
    </row>
    <row r="109" spans="1:18" x14ac:dyDescent="0.25">
      <c r="A109" s="358">
        <v>3</v>
      </c>
      <c r="B109" s="463" t="s">
        <v>729</v>
      </c>
      <c r="C109" s="464"/>
      <c r="D109" s="464"/>
      <c r="E109" s="464"/>
      <c r="F109" s="464"/>
      <c r="G109" s="464"/>
      <c r="H109" s="464"/>
      <c r="I109" s="464"/>
      <c r="J109" s="465"/>
      <c r="K109" s="466">
        <v>233099</v>
      </c>
      <c r="L109" s="467"/>
      <c r="M109" s="459">
        <v>545</v>
      </c>
      <c r="N109" s="459"/>
      <c r="O109" s="457">
        <v>88.4</v>
      </c>
      <c r="P109" s="458"/>
      <c r="Q109" s="459">
        <f t="shared" si="2"/>
        <v>37809.085504587158</v>
      </c>
      <c r="R109" s="459"/>
    </row>
    <row r="110" spans="1:18" x14ac:dyDescent="0.25">
      <c r="A110" s="358">
        <v>4</v>
      </c>
      <c r="B110" s="463" t="s">
        <v>730</v>
      </c>
      <c r="C110" s="464"/>
      <c r="D110" s="464"/>
      <c r="E110" s="464"/>
      <c r="F110" s="464"/>
      <c r="G110" s="464"/>
      <c r="H110" s="464"/>
      <c r="I110" s="464"/>
      <c r="J110" s="465"/>
      <c r="K110" s="466">
        <v>48000</v>
      </c>
      <c r="L110" s="467"/>
      <c r="M110" s="459">
        <v>545</v>
      </c>
      <c r="N110" s="459"/>
      <c r="O110" s="457">
        <v>88.4</v>
      </c>
      <c r="P110" s="458"/>
      <c r="Q110" s="459">
        <f t="shared" si="2"/>
        <v>7785.6880733944954</v>
      </c>
      <c r="R110" s="459"/>
    </row>
    <row r="111" spans="1:18" x14ac:dyDescent="0.25">
      <c r="A111" s="358">
        <v>5</v>
      </c>
      <c r="B111" s="463" t="s">
        <v>731</v>
      </c>
      <c r="C111" s="464"/>
      <c r="D111" s="464"/>
      <c r="E111" s="464"/>
      <c r="F111" s="464"/>
      <c r="G111" s="464"/>
      <c r="H111" s="464"/>
      <c r="I111" s="464"/>
      <c r="J111" s="465"/>
      <c r="K111" s="466">
        <v>35411.519999999997</v>
      </c>
      <c r="L111" s="467"/>
      <c r="M111" s="459">
        <v>545</v>
      </c>
      <c r="N111" s="459"/>
      <c r="O111" s="457">
        <v>88.4</v>
      </c>
      <c r="P111" s="458"/>
      <c r="Q111" s="459">
        <f t="shared" si="2"/>
        <v>5743.8135192660548</v>
      </c>
      <c r="R111" s="459"/>
    </row>
    <row r="112" spans="1:18" x14ac:dyDescent="0.25">
      <c r="A112" s="358">
        <v>6</v>
      </c>
      <c r="B112" s="463" t="s">
        <v>732</v>
      </c>
      <c r="C112" s="464"/>
      <c r="D112" s="464"/>
      <c r="E112" s="464"/>
      <c r="F112" s="464"/>
      <c r="G112" s="464"/>
      <c r="H112" s="464"/>
      <c r="I112" s="464"/>
      <c r="J112" s="465"/>
      <c r="K112" s="466">
        <v>298858.43</v>
      </c>
      <c r="L112" s="467"/>
      <c r="M112" s="459">
        <v>545</v>
      </c>
      <c r="N112" s="459"/>
      <c r="O112" s="457">
        <v>88.4</v>
      </c>
      <c r="P112" s="458"/>
      <c r="Q112" s="459">
        <f t="shared" si="2"/>
        <v>48475.385710091745</v>
      </c>
      <c r="R112" s="459"/>
    </row>
    <row r="113" spans="1:19" ht="15.75" x14ac:dyDescent="0.25">
      <c r="A113" s="350"/>
      <c r="B113" s="437" t="s">
        <v>260</v>
      </c>
      <c r="C113" s="437"/>
      <c r="D113" s="437"/>
      <c r="E113" s="437"/>
      <c r="F113" s="437"/>
      <c r="G113" s="437"/>
      <c r="H113" s="437"/>
      <c r="I113" s="437"/>
      <c r="J113" s="437"/>
      <c r="K113" s="455" t="s">
        <v>361</v>
      </c>
      <c r="L113" s="456"/>
      <c r="M113" s="455" t="s">
        <v>361</v>
      </c>
      <c r="N113" s="456"/>
      <c r="O113" s="455" t="s">
        <v>361</v>
      </c>
      <c r="P113" s="456"/>
      <c r="Q113" s="461">
        <f>SUM(Q107:R112)</f>
        <v>366340.29721100914</v>
      </c>
      <c r="R113" s="462"/>
      <c r="S113" s="211"/>
    </row>
    <row r="114" spans="1:19" ht="15.75" x14ac:dyDescent="0.25">
      <c r="A114" s="471" t="s">
        <v>382</v>
      </c>
      <c r="B114" s="471"/>
      <c r="C114" s="471"/>
      <c r="D114" s="471"/>
      <c r="E114" s="471"/>
      <c r="F114" s="471"/>
      <c r="G114" s="471"/>
      <c r="H114" s="471"/>
      <c r="I114" s="471"/>
    </row>
    <row r="115" spans="1:19" ht="15.75" x14ac:dyDescent="0.25">
      <c r="A115" s="338"/>
      <c r="B115" s="48"/>
      <c r="C115" s="47"/>
      <c r="D115" s="48"/>
      <c r="E115" s="48"/>
      <c r="F115" s="47"/>
      <c r="G115" s="48"/>
    </row>
    <row r="116" spans="1:19" ht="15.75" x14ac:dyDescent="0.25">
      <c r="A116" s="338"/>
      <c r="B116" s="48"/>
      <c r="C116" s="47"/>
      <c r="D116" s="47"/>
      <c r="E116" s="48"/>
      <c r="F116" s="47"/>
      <c r="G116" s="47"/>
    </row>
    <row r="117" spans="1:19" ht="15.75" customHeight="1" x14ac:dyDescent="0.25">
      <c r="A117" s="474" t="s">
        <v>383</v>
      </c>
      <c r="B117" s="474"/>
      <c r="C117" s="474"/>
      <c r="D117" s="474"/>
      <c r="E117" s="474"/>
      <c r="F117" s="474"/>
      <c r="G117" s="474"/>
      <c r="H117" s="474"/>
      <c r="I117" s="474"/>
    </row>
    <row r="118" spans="1:19" ht="15.75" x14ac:dyDescent="0.25">
      <c r="A118" s="482"/>
      <c r="B118" s="482"/>
      <c r="C118" s="482"/>
      <c r="D118" s="482"/>
      <c r="E118" s="482"/>
      <c r="F118" s="482"/>
      <c r="G118" s="482"/>
      <c r="H118" s="47"/>
      <c r="I118" s="47"/>
    </row>
    <row r="119" spans="1:19" ht="17.25" customHeight="1" x14ac:dyDescent="0.25">
      <c r="A119" s="447" t="s">
        <v>349</v>
      </c>
      <c r="B119" s="447"/>
      <c r="C119" s="447"/>
      <c r="D119" s="447"/>
      <c r="E119" s="447"/>
      <c r="F119" s="448" t="s">
        <v>406</v>
      </c>
      <c r="G119" s="448"/>
    </row>
    <row r="120" spans="1:19" x14ac:dyDescent="0.25">
      <c r="A120" s="338"/>
      <c r="B120" s="449"/>
      <c r="C120" s="449"/>
    </row>
    <row r="121" spans="1:19" ht="21" customHeight="1" x14ac:dyDescent="0.25">
      <c r="A121" s="450" t="s">
        <v>351</v>
      </c>
      <c r="B121" s="450"/>
      <c r="C121" s="450"/>
      <c r="D121" s="450"/>
      <c r="E121" s="450"/>
      <c r="F121" s="451" t="s">
        <v>392</v>
      </c>
      <c r="G121" s="451"/>
      <c r="H121" s="451"/>
      <c r="I121" s="451"/>
      <c r="J121" s="451"/>
      <c r="M121" s="49"/>
      <c r="N121" s="49"/>
      <c r="O121" s="49"/>
    </row>
    <row r="122" spans="1:19" x14ac:dyDescent="0.25">
      <c r="A122" s="475"/>
      <c r="B122" s="475"/>
      <c r="C122" s="475"/>
      <c r="D122" s="475"/>
      <c r="E122" s="475"/>
      <c r="F122" s="475"/>
      <c r="G122" s="475"/>
      <c r="H122" s="48"/>
      <c r="I122" s="48"/>
    </row>
    <row r="123" spans="1:19" ht="15.75" x14ac:dyDescent="0.25">
      <c r="A123" s="472"/>
      <c r="B123" s="472"/>
      <c r="C123" s="472"/>
      <c r="D123" s="472"/>
      <c r="E123" s="472"/>
      <c r="F123" s="472"/>
      <c r="G123" s="472"/>
      <c r="H123" s="472"/>
      <c r="I123" s="472"/>
    </row>
    <row r="124" spans="1:19" ht="47.25" customHeight="1" x14ac:dyDescent="0.25">
      <c r="A124" s="334" t="s">
        <v>193</v>
      </c>
      <c r="B124" s="437" t="s">
        <v>384</v>
      </c>
      <c r="C124" s="437"/>
      <c r="D124" s="437"/>
      <c r="E124" s="437"/>
      <c r="F124" s="437"/>
      <c r="G124" s="437"/>
      <c r="H124" s="437"/>
      <c r="I124" s="437" t="s">
        <v>407</v>
      </c>
      <c r="J124" s="437"/>
      <c r="K124" s="437"/>
    </row>
    <row r="125" spans="1:19" ht="15.75" x14ac:dyDescent="0.25">
      <c r="A125" s="327">
        <v>1</v>
      </c>
      <c r="B125" s="437">
        <v>2</v>
      </c>
      <c r="C125" s="437"/>
      <c r="D125" s="437"/>
      <c r="E125" s="437"/>
      <c r="F125" s="437"/>
      <c r="G125" s="437"/>
      <c r="H125" s="437"/>
      <c r="I125" s="437">
        <v>3</v>
      </c>
      <c r="J125" s="437"/>
      <c r="K125" s="437"/>
    </row>
    <row r="126" spans="1:19" x14ac:dyDescent="0.25">
      <c r="A126" s="469"/>
      <c r="B126" s="469"/>
      <c r="C126" s="469"/>
      <c r="D126" s="469"/>
      <c r="E126" s="469"/>
      <c r="F126" s="469"/>
      <c r="G126" s="469"/>
      <c r="H126" s="469"/>
      <c r="I126" s="469"/>
      <c r="J126" s="469"/>
      <c r="K126" s="469"/>
    </row>
    <row r="127" spans="1:19" x14ac:dyDescent="0.25">
      <c r="A127" s="469"/>
      <c r="B127" s="469"/>
      <c r="C127" s="469"/>
      <c r="D127" s="469"/>
      <c r="E127" s="469"/>
      <c r="F127" s="469"/>
      <c r="G127" s="469"/>
      <c r="H127" s="469"/>
      <c r="I127" s="469"/>
      <c r="J127" s="469"/>
      <c r="K127" s="469"/>
    </row>
    <row r="128" spans="1:19" ht="15.75" customHeight="1" x14ac:dyDescent="0.25">
      <c r="A128" s="437" t="s">
        <v>260</v>
      </c>
      <c r="B128" s="437"/>
      <c r="C128" s="437"/>
      <c r="D128" s="437"/>
      <c r="E128" s="437"/>
      <c r="F128" s="437"/>
      <c r="G128" s="437"/>
      <c r="H128" s="437"/>
      <c r="I128" s="469"/>
      <c r="J128" s="469"/>
      <c r="K128" s="469"/>
    </row>
    <row r="129" spans="1:15" ht="15.75" x14ac:dyDescent="0.25">
      <c r="A129" s="473"/>
      <c r="B129" s="473"/>
      <c r="C129" s="473"/>
      <c r="D129" s="473"/>
      <c r="E129" s="473"/>
      <c r="F129" s="473"/>
      <c r="G129" s="473"/>
      <c r="H129" s="473"/>
      <c r="I129" s="473"/>
    </row>
    <row r="130" spans="1:15" ht="15.75" x14ac:dyDescent="0.25">
      <c r="A130" s="340"/>
      <c r="B130" s="55"/>
      <c r="C130" s="55"/>
      <c r="D130" s="55"/>
      <c r="E130" s="55"/>
      <c r="F130" s="55"/>
      <c r="G130" s="55"/>
      <c r="H130" s="55"/>
      <c r="I130" s="55"/>
    </row>
    <row r="131" spans="1:15" ht="15.75" x14ac:dyDescent="0.25">
      <c r="A131" s="340"/>
      <c r="B131" s="55"/>
      <c r="C131" s="55"/>
      <c r="D131" s="55"/>
      <c r="E131" s="55"/>
      <c r="F131" s="55"/>
      <c r="G131" s="55"/>
      <c r="H131" s="55"/>
      <c r="I131" s="55"/>
    </row>
    <row r="132" spans="1:15" ht="15.75" customHeight="1" x14ac:dyDescent="0.25">
      <c r="A132" s="474" t="s">
        <v>385</v>
      </c>
      <c r="B132" s="474"/>
      <c r="C132" s="474"/>
      <c r="D132" s="474"/>
      <c r="E132" s="474"/>
      <c r="F132" s="474"/>
      <c r="G132" s="474"/>
      <c r="H132" s="474"/>
      <c r="I132" s="474"/>
    </row>
    <row r="133" spans="1:15" ht="15.75" x14ac:dyDescent="0.25">
      <c r="A133" s="482"/>
      <c r="B133" s="482"/>
      <c r="C133" s="482"/>
      <c r="D133" s="482"/>
      <c r="E133" s="482"/>
      <c r="F133" s="482"/>
      <c r="G133" s="482"/>
      <c r="H133" s="47"/>
      <c r="I133" s="47"/>
    </row>
    <row r="134" spans="1:15" ht="17.25" customHeight="1" x14ac:dyDescent="0.25">
      <c r="A134" s="447" t="s">
        <v>349</v>
      </c>
      <c r="B134" s="447"/>
      <c r="C134" s="447"/>
      <c r="D134" s="447"/>
      <c r="E134" s="447"/>
      <c r="F134" s="448">
        <v>152</v>
      </c>
      <c r="G134" s="448"/>
    </row>
    <row r="135" spans="1:15" x14ac:dyDescent="0.25">
      <c r="A135" s="338"/>
      <c r="B135" s="449"/>
      <c r="C135" s="449"/>
    </row>
    <row r="136" spans="1:15" ht="21" customHeight="1" x14ac:dyDescent="0.25">
      <c r="A136" s="450" t="s">
        <v>351</v>
      </c>
      <c r="B136" s="450"/>
      <c r="C136" s="450"/>
      <c r="D136" s="450"/>
      <c r="E136" s="450"/>
      <c r="F136" s="451" t="s">
        <v>392</v>
      </c>
      <c r="G136" s="451"/>
      <c r="H136" s="451"/>
      <c r="I136" s="451"/>
      <c r="J136" s="451"/>
      <c r="M136" s="49"/>
      <c r="N136" s="49"/>
      <c r="O136" s="49"/>
    </row>
    <row r="137" spans="1:15" x14ac:dyDescent="0.25">
      <c r="A137" s="475"/>
      <c r="B137" s="475"/>
      <c r="C137" s="475"/>
      <c r="D137" s="475"/>
      <c r="E137" s="475"/>
      <c r="F137" s="475"/>
      <c r="G137" s="475"/>
      <c r="H137" s="48"/>
      <c r="I137" s="48"/>
    </row>
    <row r="138" spans="1:15" ht="15.75" x14ac:dyDescent="0.25">
      <c r="A138" s="472"/>
      <c r="B138" s="472"/>
      <c r="C138" s="472"/>
      <c r="D138" s="472"/>
      <c r="E138" s="472"/>
      <c r="F138" s="472"/>
      <c r="G138" s="472"/>
      <c r="H138" s="472"/>
      <c r="I138" s="472"/>
    </row>
    <row r="139" spans="1:15" ht="46.5" customHeight="1" x14ac:dyDescent="0.25">
      <c r="A139" s="333" t="s">
        <v>193</v>
      </c>
      <c r="B139" s="470" t="s">
        <v>386</v>
      </c>
      <c r="C139" s="470"/>
      <c r="D139" s="470"/>
      <c r="E139" s="470"/>
      <c r="F139" s="470"/>
      <c r="G139" s="470"/>
      <c r="H139" s="470"/>
      <c r="I139" s="470" t="s">
        <v>408</v>
      </c>
      <c r="J139" s="470"/>
      <c r="K139" s="470"/>
    </row>
    <row r="140" spans="1:15" ht="15.75" x14ac:dyDescent="0.25">
      <c r="A140" s="327">
        <v>1</v>
      </c>
      <c r="B140" s="437">
        <v>2</v>
      </c>
      <c r="C140" s="437"/>
      <c r="D140" s="437"/>
      <c r="E140" s="437"/>
      <c r="F140" s="437"/>
      <c r="G140" s="437"/>
      <c r="H140" s="437"/>
      <c r="I140" s="437">
        <v>3</v>
      </c>
      <c r="J140" s="437"/>
      <c r="K140" s="437"/>
    </row>
    <row r="141" spans="1:15" x14ac:dyDescent="0.25">
      <c r="A141" s="331"/>
      <c r="B141" s="469"/>
      <c r="C141" s="469"/>
      <c r="D141" s="469"/>
      <c r="E141" s="469"/>
      <c r="F141" s="469"/>
      <c r="G141" s="469"/>
      <c r="H141" s="469"/>
      <c r="I141" s="469"/>
      <c r="J141" s="469"/>
      <c r="K141" s="469"/>
    </row>
    <row r="142" spans="1:15" x14ac:dyDescent="0.25">
      <c r="A142" s="331"/>
      <c r="B142" s="469"/>
      <c r="C142" s="469"/>
      <c r="D142" s="469"/>
      <c r="E142" s="469"/>
      <c r="F142" s="469"/>
      <c r="G142" s="469"/>
      <c r="H142" s="469"/>
      <c r="I142" s="469"/>
      <c r="J142" s="469"/>
      <c r="K142" s="469"/>
    </row>
    <row r="143" spans="1:15" ht="15.75" customHeight="1" x14ac:dyDescent="0.25">
      <c r="A143" s="331"/>
      <c r="B143" s="437" t="s">
        <v>260</v>
      </c>
      <c r="C143" s="437"/>
      <c r="D143" s="437"/>
      <c r="E143" s="437"/>
      <c r="F143" s="437"/>
      <c r="G143" s="437"/>
      <c r="H143" s="437"/>
      <c r="I143" s="469"/>
      <c r="J143" s="469"/>
      <c r="K143" s="469"/>
    </row>
    <row r="144" spans="1:15" x14ac:dyDescent="0.25">
      <c r="A144" s="449"/>
      <c r="B144" s="449"/>
      <c r="C144" s="449"/>
      <c r="D144" s="449"/>
      <c r="E144" s="449"/>
      <c r="F144" s="449"/>
      <c r="G144" s="449"/>
      <c r="H144" s="48"/>
      <c r="I144" s="48"/>
    </row>
    <row r="145" spans="1:15" x14ac:dyDescent="0.25">
      <c r="A145" s="341"/>
      <c r="B145" s="56"/>
      <c r="C145" s="56"/>
      <c r="D145" s="56"/>
      <c r="E145" s="56"/>
      <c r="F145" s="56"/>
      <c r="G145" s="56"/>
      <c r="H145" s="48"/>
      <c r="I145" s="48"/>
    </row>
    <row r="146" spans="1:15" x14ac:dyDescent="0.25">
      <c r="A146" s="341"/>
      <c r="B146" s="56"/>
      <c r="C146" s="56"/>
      <c r="D146" s="56"/>
      <c r="E146" s="56"/>
      <c r="F146" s="56"/>
      <c r="G146" s="56"/>
      <c r="H146" s="48"/>
      <c r="I146" s="48"/>
    </row>
    <row r="147" spans="1:15" x14ac:dyDescent="0.25">
      <c r="A147" s="341"/>
      <c r="B147" s="56"/>
      <c r="C147" s="56"/>
      <c r="D147" s="56"/>
      <c r="E147" s="56"/>
      <c r="F147" s="56"/>
      <c r="G147" s="56"/>
      <c r="H147" s="48"/>
      <c r="I147" s="48"/>
    </row>
    <row r="148" spans="1:15" ht="15.75" x14ac:dyDescent="0.25">
      <c r="A148" s="328"/>
    </row>
    <row r="149" spans="1:15" ht="15.75" x14ac:dyDescent="0.25">
      <c r="A149" s="328"/>
    </row>
    <row r="150" spans="1:15" s="446" customFormat="1" ht="15.75" x14ac:dyDescent="0.25">
      <c r="A150" s="446" t="s">
        <v>387</v>
      </c>
    </row>
    <row r="151" spans="1:15" ht="15.75" x14ac:dyDescent="0.25">
      <c r="A151" s="332"/>
      <c r="B151" s="47"/>
      <c r="C151" s="47"/>
    </row>
    <row r="152" spans="1:15" ht="17.25" customHeight="1" x14ac:dyDescent="0.25">
      <c r="A152" s="447" t="s">
        <v>349</v>
      </c>
      <c r="B152" s="447"/>
      <c r="C152" s="447"/>
      <c r="D152" s="447"/>
      <c r="E152" s="447"/>
      <c r="F152" s="448">
        <v>155</v>
      </c>
      <c r="G152" s="448"/>
    </row>
    <row r="153" spans="1:15" x14ac:dyDescent="0.25">
      <c r="A153" s="338"/>
      <c r="B153" s="449"/>
      <c r="C153" s="449"/>
    </row>
    <row r="154" spans="1:15" ht="21" customHeight="1" x14ac:dyDescent="0.25">
      <c r="A154" s="450" t="s">
        <v>351</v>
      </c>
      <c r="B154" s="450"/>
      <c r="C154" s="450"/>
      <c r="D154" s="450"/>
      <c r="E154" s="450"/>
      <c r="F154" s="451" t="s">
        <v>392</v>
      </c>
      <c r="G154" s="451"/>
      <c r="H154" s="451"/>
      <c r="I154" s="451"/>
      <c r="J154" s="451"/>
      <c r="M154" s="49"/>
      <c r="N154" s="49"/>
      <c r="O154" s="49"/>
    </row>
    <row r="155" spans="1:15" x14ac:dyDescent="0.25">
      <c r="A155" s="338"/>
      <c r="B155" s="48"/>
      <c r="C155" s="48"/>
    </row>
    <row r="156" spans="1:15" ht="15.75" x14ac:dyDescent="0.25">
      <c r="A156" s="330"/>
    </row>
    <row r="157" spans="1:15" ht="78.75" customHeight="1" x14ac:dyDescent="0.25">
      <c r="A157" s="334" t="s">
        <v>193</v>
      </c>
      <c r="B157" s="437" t="s">
        <v>388</v>
      </c>
      <c r="C157" s="437"/>
      <c r="D157" s="437"/>
      <c r="E157" s="437"/>
      <c r="F157" s="437"/>
      <c r="G157" s="437"/>
      <c r="H157" s="437"/>
      <c r="I157" s="437" t="s">
        <v>410</v>
      </c>
      <c r="J157" s="437"/>
      <c r="K157" s="437" t="s">
        <v>409</v>
      </c>
      <c r="L157" s="437"/>
    </row>
    <row r="158" spans="1:15" ht="15.75" x14ac:dyDescent="0.25">
      <c r="A158" s="327">
        <v>1</v>
      </c>
      <c r="B158" s="437">
        <v>2</v>
      </c>
      <c r="C158" s="437"/>
      <c r="D158" s="437"/>
      <c r="E158" s="437"/>
      <c r="F158" s="437"/>
      <c r="G158" s="437"/>
      <c r="H158" s="437"/>
      <c r="I158" s="437">
        <v>3</v>
      </c>
      <c r="J158" s="437"/>
      <c r="K158" s="437">
        <v>4</v>
      </c>
      <c r="L158" s="437"/>
    </row>
    <row r="159" spans="1:15" ht="15.75" x14ac:dyDescent="0.25">
      <c r="A159" s="331"/>
      <c r="B159" s="469"/>
      <c r="C159" s="469"/>
      <c r="D159" s="469"/>
      <c r="E159" s="469"/>
      <c r="F159" s="469"/>
      <c r="G159" s="469"/>
      <c r="H159" s="469"/>
      <c r="I159" s="469"/>
      <c r="J159" s="469"/>
      <c r="K159" s="437"/>
      <c r="L159" s="437"/>
    </row>
    <row r="160" spans="1:15" ht="15.75" x14ac:dyDescent="0.25">
      <c r="A160" s="331"/>
      <c r="B160" s="469"/>
      <c r="C160" s="469"/>
      <c r="D160" s="469"/>
      <c r="E160" s="469"/>
      <c r="F160" s="469"/>
      <c r="G160" s="469"/>
      <c r="H160" s="469"/>
      <c r="I160" s="469"/>
      <c r="J160" s="469"/>
      <c r="K160" s="437"/>
      <c r="L160" s="437"/>
    </row>
    <row r="161" spans="1:15" ht="15.75" x14ac:dyDescent="0.25">
      <c r="A161" s="331"/>
      <c r="B161" s="437" t="s">
        <v>260</v>
      </c>
      <c r="C161" s="437"/>
      <c r="D161" s="437"/>
      <c r="E161" s="437"/>
      <c r="F161" s="437"/>
      <c r="G161" s="437"/>
      <c r="H161" s="437"/>
      <c r="I161" s="469"/>
      <c r="J161" s="469"/>
      <c r="K161" s="437"/>
      <c r="L161" s="437"/>
    </row>
    <row r="162" spans="1:15" ht="15.75" x14ac:dyDescent="0.25">
      <c r="A162" s="330"/>
    </row>
    <row r="163" spans="1:15" ht="15.75" x14ac:dyDescent="0.25">
      <c r="A163" s="330"/>
    </row>
    <row r="164" spans="1:15" ht="15.75" x14ac:dyDescent="0.25">
      <c r="A164" s="330"/>
    </row>
    <row r="165" spans="1:15" ht="15.75" x14ac:dyDescent="0.25">
      <c r="A165" s="330"/>
    </row>
    <row r="166" spans="1:15" ht="15.75" x14ac:dyDescent="0.25">
      <c r="A166" s="330"/>
    </row>
    <row r="167" spans="1:15" ht="15.75" x14ac:dyDescent="0.25">
      <c r="A167" s="330"/>
    </row>
    <row r="168" spans="1:15" s="446" customFormat="1" ht="15.75" x14ac:dyDescent="0.25">
      <c r="A168" s="446" t="s">
        <v>389</v>
      </c>
    </row>
    <row r="169" spans="1:15" ht="15.75" x14ac:dyDescent="0.25">
      <c r="A169" s="332"/>
      <c r="B169" s="47"/>
      <c r="C169" s="47"/>
    </row>
    <row r="170" spans="1:15" ht="17.25" customHeight="1" x14ac:dyDescent="0.25">
      <c r="A170" s="447" t="s">
        <v>349</v>
      </c>
      <c r="B170" s="447"/>
      <c r="C170" s="447"/>
      <c r="D170" s="447"/>
      <c r="E170" s="447"/>
      <c r="F170" s="448"/>
      <c r="G170" s="448"/>
    </row>
    <row r="171" spans="1:15" x14ac:dyDescent="0.25">
      <c r="A171" s="338"/>
      <c r="B171" s="449"/>
      <c r="C171" s="449"/>
    </row>
    <row r="172" spans="1:15" ht="21" customHeight="1" x14ac:dyDescent="0.25">
      <c r="A172" s="450" t="s">
        <v>351</v>
      </c>
      <c r="B172" s="450"/>
      <c r="C172" s="450"/>
      <c r="D172" s="450"/>
      <c r="E172" s="450"/>
      <c r="F172" s="451" t="s">
        <v>392</v>
      </c>
      <c r="G172" s="451"/>
      <c r="H172" s="451"/>
      <c r="I172" s="451"/>
      <c r="J172" s="451"/>
      <c r="M172" s="49"/>
      <c r="N172" s="49"/>
      <c r="O172" s="49"/>
    </row>
    <row r="173" spans="1:15" x14ac:dyDescent="0.25">
      <c r="A173" s="338"/>
      <c r="B173" s="48"/>
      <c r="C173" s="48"/>
    </row>
    <row r="174" spans="1:15" ht="36" customHeight="1" x14ac:dyDescent="0.25">
      <c r="A174" s="327" t="s">
        <v>193</v>
      </c>
      <c r="B174" s="437" t="s">
        <v>390</v>
      </c>
      <c r="C174" s="437"/>
      <c r="D174" s="437"/>
      <c r="E174" s="437"/>
      <c r="F174" s="437"/>
      <c r="G174" s="437"/>
      <c r="H174" s="437"/>
      <c r="I174" s="437" t="s">
        <v>411</v>
      </c>
      <c r="J174" s="437"/>
      <c r="K174" s="437"/>
    </row>
    <row r="175" spans="1:15" ht="15.75" x14ac:dyDescent="0.25">
      <c r="A175" s="327">
        <v>1</v>
      </c>
      <c r="B175" s="437">
        <v>2</v>
      </c>
      <c r="C175" s="437"/>
      <c r="D175" s="437"/>
      <c r="E175" s="437"/>
      <c r="F175" s="437"/>
      <c r="G175" s="437"/>
      <c r="H175" s="437"/>
      <c r="I175" s="437">
        <v>3</v>
      </c>
      <c r="J175" s="437"/>
      <c r="K175" s="437"/>
    </row>
    <row r="176" spans="1:15" x14ac:dyDescent="0.25">
      <c r="A176" s="350">
        <v>1</v>
      </c>
      <c r="B176" s="441" t="s">
        <v>733</v>
      </c>
      <c r="C176" s="441"/>
      <c r="D176" s="441"/>
      <c r="E176" s="441"/>
      <c r="F176" s="441"/>
      <c r="G176" s="441"/>
      <c r="H176" s="441"/>
      <c r="I176" s="442">
        <v>-115808</v>
      </c>
      <c r="J176" s="442"/>
      <c r="K176" s="442"/>
    </row>
    <row r="177" spans="1:15" x14ac:dyDescent="0.25">
      <c r="A177" s="350"/>
      <c r="B177" s="416"/>
      <c r="C177" s="416"/>
      <c r="D177" s="416"/>
      <c r="E177" s="416"/>
      <c r="F177" s="416"/>
      <c r="G177" s="416"/>
      <c r="H177" s="416"/>
      <c r="I177" s="442"/>
      <c r="J177" s="442"/>
      <c r="K177" s="442"/>
    </row>
    <row r="178" spans="1:15" ht="15.75" x14ac:dyDescent="0.25">
      <c r="A178" s="350"/>
      <c r="B178" s="437" t="s">
        <v>260</v>
      </c>
      <c r="C178" s="437"/>
      <c r="D178" s="437"/>
      <c r="E178" s="437"/>
      <c r="F178" s="437"/>
      <c r="G178" s="437"/>
      <c r="H178" s="437"/>
      <c r="I178" s="442">
        <f>I176</f>
        <v>-115808</v>
      </c>
      <c r="J178" s="442"/>
      <c r="K178" s="442"/>
    </row>
    <row r="179" spans="1:15" x14ac:dyDescent="0.25">
      <c r="A179" s="338"/>
      <c r="B179" s="48"/>
      <c r="C179" s="48"/>
    </row>
    <row r="180" spans="1:15" ht="39.75" customHeight="1" x14ac:dyDescent="0.25">
      <c r="A180" s="497" t="s">
        <v>391</v>
      </c>
      <c r="B180" s="497"/>
      <c r="C180" s="497"/>
      <c r="D180" s="497"/>
      <c r="E180" s="497"/>
      <c r="F180" s="497"/>
      <c r="G180" s="497"/>
      <c r="H180" s="497"/>
      <c r="I180" s="497"/>
      <c r="J180" s="497"/>
      <c r="K180" s="497"/>
      <c r="L180" s="497"/>
      <c r="M180" s="497"/>
      <c r="N180" s="497"/>
    </row>
    <row r="181" spans="1:15" ht="15.75" x14ac:dyDescent="0.25">
      <c r="A181" s="332"/>
      <c r="B181" s="47"/>
      <c r="C181" s="47"/>
    </row>
    <row r="182" spans="1:15" ht="15" customHeight="1" x14ac:dyDescent="0.25">
      <c r="A182" s="447" t="s">
        <v>349</v>
      </c>
      <c r="B182" s="447"/>
      <c r="C182" s="447"/>
      <c r="D182" s="447"/>
      <c r="E182" s="447"/>
      <c r="F182" s="448"/>
      <c r="G182" s="448"/>
    </row>
    <row r="183" spans="1:15" x14ac:dyDescent="0.25">
      <c r="A183" s="338"/>
      <c r="B183" s="449"/>
      <c r="C183" s="449"/>
    </row>
    <row r="184" spans="1:15" ht="15" customHeight="1" x14ac:dyDescent="0.25">
      <c r="A184" s="450" t="s">
        <v>351</v>
      </c>
      <c r="B184" s="450"/>
      <c r="C184" s="450"/>
      <c r="D184" s="450"/>
      <c r="E184" s="450"/>
      <c r="F184" s="451" t="s">
        <v>392</v>
      </c>
      <c r="G184" s="451"/>
      <c r="H184" s="451"/>
      <c r="I184" s="451"/>
      <c r="J184" s="451"/>
      <c r="M184" s="49"/>
      <c r="N184" s="49"/>
      <c r="O184" s="49"/>
    </row>
    <row r="185" spans="1:15" x14ac:dyDescent="0.25">
      <c r="A185" s="338"/>
      <c r="B185" s="48"/>
      <c r="C185" s="48"/>
    </row>
    <row r="186" spans="1:15" s="33" customFormat="1" ht="65.25" customHeight="1" x14ac:dyDescent="0.25">
      <c r="A186" s="327" t="s">
        <v>193</v>
      </c>
      <c r="B186" s="437" t="s">
        <v>384</v>
      </c>
      <c r="C186" s="437"/>
      <c r="D186" s="437"/>
      <c r="E186" s="437"/>
      <c r="F186" s="437"/>
      <c r="G186" s="437"/>
      <c r="H186" s="437"/>
      <c r="I186" s="437" t="s">
        <v>412</v>
      </c>
      <c r="J186" s="437"/>
      <c r="K186" s="437"/>
    </row>
    <row r="187" spans="1:15" ht="15.75" x14ac:dyDescent="0.25">
      <c r="A187" s="327">
        <v>1</v>
      </c>
      <c r="B187" s="437">
        <v>2</v>
      </c>
      <c r="C187" s="437"/>
      <c r="D187" s="437"/>
      <c r="E187" s="437"/>
      <c r="F187" s="437"/>
      <c r="G187" s="437"/>
      <c r="H187" s="437"/>
      <c r="I187" s="437">
        <v>3</v>
      </c>
      <c r="J187" s="437"/>
      <c r="K187" s="437"/>
    </row>
    <row r="188" spans="1:15" x14ac:dyDescent="0.25">
      <c r="A188" s="331"/>
      <c r="B188" s="469"/>
      <c r="C188" s="469"/>
      <c r="D188" s="469"/>
      <c r="E188" s="469"/>
      <c r="F188" s="469"/>
      <c r="G188" s="469"/>
      <c r="H188" s="469"/>
      <c r="I188" s="469"/>
      <c r="J188" s="469"/>
      <c r="K188" s="469"/>
    </row>
    <row r="189" spans="1:15" x14ac:dyDescent="0.25">
      <c r="A189" s="331"/>
      <c r="B189" s="469"/>
      <c r="C189" s="469"/>
      <c r="D189" s="469"/>
      <c r="E189" s="469"/>
      <c r="F189" s="469"/>
      <c r="G189" s="469"/>
      <c r="H189" s="469"/>
      <c r="I189" s="469"/>
      <c r="J189" s="469"/>
      <c r="K189" s="469"/>
    </row>
    <row r="190" spans="1:15" ht="15.75" x14ac:dyDescent="0.25">
      <c r="A190" s="331"/>
      <c r="B190" s="437" t="s">
        <v>260</v>
      </c>
      <c r="C190" s="437"/>
      <c r="D190" s="437"/>
      <c r="E190" s="437"/>
      <c r="F190" s="437"/>
      <c r="G190" s="437"/>
      <c r="H190" s="437"/>
      <c r="I190" s="469"/>
      <c r="J190" s="469"/>
      <c r="K190" s="469"/>
    </row>
    <row r="191" spans="1:15" x14ac:dyDescent="0.25">
      <c r="A191" s="338"/>
      <c r="B191" s="48"/>
      <c r="C191" s="48"/>
    </row>
    <row r="192" spans="1:15" x14ac:dyDescent="0.25">
      <c r="A192" s="505" t="s">
        <v>421</v>
      </c>
      <c r="B192" s="505"/>
      <c r="C192" s="505"/>
      <c r="D192" s="505"/>
      <c r="E192" s="505"/>
      <c r="F192" s="505"/>
      <c r="G192" s="505"/>
      <c r="H192" s="505"/>
      <c r="I192" s="505"/>
      <c r="J192" s="505"/>
    </row>
    <row r="193" spans="1:23" x14ac:dyDescent="0.25">
      <c r="A193" s="35"/>
      <c r="B193" s="33"/>
      <c r="C193" s="33"/>
      <c r="D193" s="33"/>
      <c r="E193" s="33"/>
      <c r="F193" s="33"/>
      <c r="G193" s="3"/>
      <c r="H193" s="3"/>
      <c r="I193" s="3"/>
      <c r="J193" s="3"/>
    </row>
    <row r="194" spans="1:23" ht="33" customHeight="1" x14ac:dyDescent="0.25">
      <c r="A194" s="329" t="s">
        <v>253</v>
      </c>
      <c r="B194" s="416" t="s">
        <v>335</v>
      </c>
      <c r="C194" s="416"/>
      <c r="D194" s="416"/>
      <c r="E194" s="416" t="s">
        <v>422</v>
      </c>
      <c r="F194" s="416"/>
      <c r="G194" s="416"/>
      <c r="H194" s="3"/>
      <c r="I194" s="3"/>
      <c r="J194" s="3"/>
    </row>
    <row r="195" spans="1:23" x14ac:dyDescent="0.25">
      <c r="A195" s="329">
        <v>1</v>
      </c>
      <c r="B195" s="416">
        <v>2</v>
      </c>
      <c r="C195" s="416"/>
      <c r="D195" s="416"/>
      <c r="E195" s="416">
        <v>3</v>
      </c>
      <c r="F195" s="416"/>
      <c r="G195" s="416"/>
      <c r="H195" s="3"/>
      <c r="I195" s="3"/>
      <c r="J195" s="3"/>
    </row>
    <row r="196" spans="1:23" x14ac:dyDescent="0.25">
      <c r="A196" s="329">
        <v>1</v>
      </c>
      <c r="B196" s="479" t="s">
        <v>778</v>
      </c>
      <c r="C196" s="480"/>
      <c r="D196" s="496"/>
      <c r="E196" s="442">
        <f>Q78</f>
        <v>3780000</v>
      </c>
      <c r="F196" s="442"/>
      <c r="G196" s="442"/>
      <c r="H196" s="3"/>
      <c r="I196" s="3"/>
      <c r="J196" s="3"/>
    </row>
    <row r="197" spans="1:23" x14ac:dyDescent="0.25">
      <c r="A197" s="329">
        <v>2</v>
      </c>
      <c r="B197" s="441" t="s">
        <v>775</v>
      </c>
      <c r="C197" s="441"/>
      <c r="D197" s="441"/>
      <c r="E197" s="442">
        <f>Q43</f>
        <v>9308000</v>
      </c>
      <c r="F197" s="442"/>
      <c r="G197" s="442"/>
      <c r="H197" s="3"/>
      <c r="I197" s="3"/>
      <c r="J197" s="3"/>
      <c r="W197" s="211">
        <f>'1 раздел'!R3</f>
        <v>13585141.460000001</v>
      </c>
    </row>
    <row r="198" spans="1:23" x14ac:dyDescent="0.25">
      <c r="A198" s="350">
        <v>3</v>
      </c>
      <c r="B198" s="479" t="s">
        <v>779</v>
      </c>
      <c r="C198" s="480"/>
      <c r="D198" s="496"/>
      <c r="E198" s="461">
        <f>Q113</f>
        <v>366340.29721100914</v>
      </c>
      <c r="F198" s="500"/>
      <c r="G198" s="501"/>
      <c r="H198" s="3"/>
      <c r="I198" s="3"/>
      <c r="J198" s="3"/>
      <c r="W198" s="211"/>
    </row>
    <row r="199" spans="1:23" x14ac:dyDescent="0.25">
      <c r="A199" s="349">
        <v>4</v>
      </c>
      <c r="B199" s="479" t="s">
        <v>776</v>
      </c>
      <c r="C199" s="480"/>
      <c r="D199" s="496"/>
      <c r="E199" s="461">
        <f>V24</f>
        <v>246609.15720000002</v>
      </c>
      <c r="F199" s="500"/>
      <c r="G199" s="501"/>
      <c r="H199" s="3"/>
      <c r="I199" s="3"/>
      <c r="J199" s="3"/>
      <c r="W199" s="211"/>
    </row>
    <row r="200" spans="1:23" x14ac:dyDescent="0.25">
      <c r="A200" s="350">
        <v>5</v>
      </c>
      <c r="B200" s="502" t="s">
        <v>733</v>
      </c>
      <c r="C200" s="503"/>
      <c r="D200" s="504"/>
      <c r="E200" s="461">
        <f>I178</f>
        <v>-115808</v>
      </c>
      <c r="F200" s="500"/>
      <c r="G200" s="501"/>
      <c r="H200" s="3"/>
      <c r="I200" s="3"/>
      <c r="J200" s="3"/>
      <c r="W200" s="211"/>
    </row>
    <row r="201" spans="1:23" x14ac:dyDescent="0.25">
      <c r="A201" s="317"/>
      <c r="B201" s="416" t="s">
        <v>260</v>
      </c>
      <c r="C201" s="416"/>
      <c r="D201" s="416"/>
      <c r="E201" s="442">
        <f>SUM(E196:G200)+0.01</f>
        <v>13585141.464411009</v>
      </c>
      <c r="F201" s="442"/>
      <c r="G201" s="442"/>
      <c r="H201" s="3"/>
      <c r="I201" s="3"/>
      <c r="J201" s="3"/>
      <c r="W201" s="211">
        <f>W197-E201</f>
        <v>-4.411008208990097E-3</v>
      </c>
    </row>
    <row r="202" spans="1:23" x14ac:dyDescent="0.25">
      <c r="A202" s="318"/>
      <c r="B202" s="63"/>
      <c r="C202" s="63"/>
      <c r="D202" s="63"/>
      <c r="E202" s="62"/>
      <c r="F202" s="62"/>
      <c r="G202" s="62"/>
      <c r="H202" s="3"/>
      <c r="I202" s="3"/>
      <c r="J202" s="3"/>
    </row>
    <row r="203" spans="1:23" s="84" customFormat="1" ht="27.75" customHeight="1" x14ac:dyDescent="0.25">
      <c r="A203" s="96" t="s">
        <v>467</v>
      </c>
      <c r="B203" s="96"/>
      <c r="C203" s="97"/>
      <c r="D203" s="443"/>
      <c r="E203" s="443"/>
      <c r="F203" s="85" t="s">
        <v>634</v>
      </c>
      <c r="G203" s="85"/>
    </row>
    <row r="204" spans="1:23" s="84" customFormat="1" ht="27.75" customHeight="1" x14ac:dyDescent="0.25">
      <c r="A204" s="98"/>
      <c r="B204" s="99"/>
      <c r="C204" s="444" t="s">
        <v>468</v>
      </c>
      <c r="D204" s="444"/>
      <c r="E204" s="444"/>
      <c r="F204" s="445"/>
      <c r="G204" s="445"/>
    </row>
    <row r="205" spans="1:23" s="84" customFormat="1" ht="27.75" customHeight="1" x14ac:dyDescent="0.25">
      <c r="A205" s="96" t="s">
        <v>469</v>
      </c>
      <c r="B205" s="96"/>
      <c r="C205" s="97"/>
      <c r="D205" s="443"/>
      <c r="E205" s="443"/>
      <c r="F205" s="85" t="s">
        <v>645</v>
      </c>
      <c r="G205" s="85"/>
    </row>
    <row r="206" spans="1:23" s="84" customFormat="1" ht="27.75" customHeight="1" x14ac:dyDescent="0.25">
      <c r="A206" s="98"/>
      <c r="B206" s="99"/>
      <c r="C206" s="444" t="s">
        <v>468</v>
      </c>
      <c r="D206" s="444"/>
      <c r="E206" s="444"/>
      <c r="F206" s="445"/>
      <c r="G206" s="445"/>
    </row>
    <row r="207" spans="1:23" x14ac:dyDescent="0.25">
      <c r="A207" s="315" t="s">
        <v>344</v>
      </c>
      <c r="B207" s="3"/>
      <c r="C207" s="3"/>
      <c r="D207" s="3"/>
      <c r="E207" s="3"/>
      <c r="F207" s="3"/>
      <c r="G207" s="3"/>
      <c r="H207" s="3"/>
      <c r="I207" s="3"/>
      <c r="J207" s="3"/>
    </row>
  </sheetData>
  <mergeCells count="435">
    <mergeCell ref="B198:D198"/>
    <mergeCell ref="E198:G198"/>
    <mergeCell ref="B200:D200"/>
    <mergeCell ref="E200:G200"/>
    <mergeCell ref="B199:D199"/>
    <mergeCell ref="E199:G199"/>
    <mergeCell ref="V15:V20"/>
    <mergeCell ref="D16:H16"/>
    <mergeCell ref="R17:R20"/>
    <mergeCell ref="S17:S20"/>
    <mergeCell ref="T17:T20"/>
    <mergeCell ref="U17:U20"/>
    <mergeCell ref="A192:J192"/>
    <mergeCell ref="B194:D194"/>
    <mergeCell ref="B195:D195"/>
    <mergeCell ref="I38:I39"/>
    <mergeCell ref="I37:J37"/>
    <mergeCell ref="J38:J39"/>
    <mergeCell ref="O37:O39"/>
    <mergeCell ref="P37:P39"/>
    <mergeCell ref="K37:N37"/>
    <mergeCell ref="K38:L38"/>
    <mergeCell ref="M38:N38"/>
    <mergeCell ref="Q37:R39"/>
    <mergeCell ref="G38:G39"/>
    <mergeCell ref="Q40:R40"/>
    <mergeCell ref="Q17:Q20"/>
    <mergeCell ref="N15:Q16"/>
    <mergeCell ref="B40:C40"/>
    <mergeCell ref="Q41:R41"/>
    <mergeCell ref="Q42:R42"/>
    <mergeCell ref="Q43:R43"/>
    <mergeCell ref="B84:C84"/>
    <mergeCell ref="B34:C34"/>
    <mergeCell ref="D38:D39"/>
    <mergeCell ref="E38:E39"/>
    <mergeCell ref="F38:F39"/>
    <mergeCell ref="B63:H63"/>
    <mergeCell ref="I63:J63"/>
    <mergeCell ref="K63:L63"/>
    <mergeCell ref="M63:N63"/>
    <mergeCell ref="O63:P63"/>
    <mergeCell ref="Q63:R63"/>
    <mergeCell ref="B64:H64"/>
    <mergeCell ref="I64:J64"/>
    <mergeCell ref="K64:L64"/>
    <mergeCell ref="M64:N64"/>
    <mergeCell ref="O64:P64"/>
    <mergeCell ref="Q93:R93"/>
    <mergeCell ref="Q94:R94"/>
    <mergeCell ref="Q95:R95"/>
    <mergeCell ref="Q88:R91"/>
    <mergeCell ref="Q92:R92"/>
    <mergeCell ref="I15:M16"/>
    <mergeCell ref="K95:L95"/>
    <mergeCell ref="M92:N92"/>
    <mergeCell ref="M93:N93"/>
    <mergeCell ref="M94:N94"/>
    <mergeCell ref="M95:N95"/>
    <mergeCell ref="M91:N91"/>
    <mergeCell ref="J88:L90"/>
    <mergeCell ref="K91:L91"/>
    <mergeCell ref="K92:L92"/>
    <mergeCell ref="K93:L93"/>
    <mergeCell ref="A81:XFD81"/>
    <mergeCell ref="A31:XFD31"/>
    <mergeCell ref="M78:N78"/>
    <mergeCell ref="O78:P78"/>
    <mergeCell ref="Q78:R78"/>
    <mergeCell ref="A83:E83"/>
    <mergeCell ref="F83:G83"/>
    <mergeCell ref="B93:G93"/>
    <mergeCell ref="B196:D196"/>
    <mergeCell ref="B197:D197"/>
    <mergeCell ref="B201:D201"/>
    <mergeCell ref="E194:G194"/>
    <mergeCell ref="E195:G195"/>
    <mergeCell ref="E196:G196"/>
    <mergeCell ref="E197:G197"/>
    <mergeCell ref="E201:G201"/>
    <mergeCell ref="A85:E85"/>
    <mergeCell ref="F85:J85"/>
    <mergeCell ref="A127:H127"/>
    <mergeCell ref="A126:H126"/>
    <mergeCell ref="A88:A91"/>
    <mergeCell ref="H88:I91"/>
    <mergeCell ref="H92:I92"/>
    <mergeCell ref="H93:I93"/>
    <mergeCell ref="H94:I94"/>
    <mergeCell ref="H95:I95"/>
    <mergeCell ref="B88:G91"/>
    <mergeCell ref="B92:G92"/>
    <mergeCell ref="A180:N180"/>
    <mergeCell ref="A182:E182"/>
    <mergeCell ref="B153:C153"/>
    <mergeCell ref="B171:C171"/>
    <mergeCell ref="A37:A39"/>
    <mergeCell ref="B37:C39"/>
    <mergeCell ref="D37:E37"/>
    <mergeCell ref="F37:G37"/>
    <mergeCell ref="H37:H39"/>
    <mergeCell ref="A144:G144"/>
    <mergeCell ref="A117:I117"/>
    <mergeCell ref="A8:S8"/>
    <mergeCell ref="A14:S14"/>
    <mergeCell ref="A25:S25"/>
    <mergeCell ref="A26:S26"/>
    <mergeCell ref="B23:U23"/>
    <mergeCell ref="A133:G133"/>
    <mergeCell ref="B124:H124"/>
    <mergeCell ref="A122:G122"/>
    <mergeCell ref="B120:C120"/>
    <mergeCell ref="A121:E121"/>
    <mergeCell ref="F121:J121"/>
    <mergeCell ref="I124:K124"/>
    <mergeCell ref="I126:K126"/>
    <mergeCell ref="I127:K127"/>
    <mergeCell ref="I128:K128"/>
    <mergeCell ref="B125:H125"/>
    <mergeCell ref="A128:H128"/>
    <mergeCell ref="A2:S2"/>
    <mergeCell ref="A3:S3"/>
    <mergeCell ref="A4:S4"/>
    <mergeCell ref="A5:S5"/>
    <mergeCell ref="A6:S6"/>
    <mergeCell ref="A7:S7"/>
    <mergeCell ref="J17:J20"/>
    <mergeCell ref="M17:M20"/>
    <mergeCell ref="P17:P20"/>
    <mergeCell ref="D17:D20"/>
    <mergeCell ref="E17:E20"/>
    <mergeCell ref="F10:G10"/>
    <mergeCell ref="B11:C11"/>
    <mergeCell ref="B15:B20"/>
    <mergeCell ref="C15:C20"/>
    <mergeCell ref="A10:E10"/>
    <mergeCell ref="A12:E12"/>
    <mergeCell ref="F12:J12"/>
    <mergeCell ref="R15:U16"/>
    <mergeCell ref="A15:A20"/>
    <mergeCell ref="D15:H15"/>
    <mergeCell ref="N17:N20"/>
    <mergeCell ref="O17:O20"/>
    <mergeCell ref="L17:L20"/>
    <mergeCell ref="B41:C41"/>
    <mergeCell ref="B42:C42"/>
    <mergeCell ref="B43:C43"/>
    <mergeCell ref="A118:G118"/>
    <mergeCell ref="I125:K125"/>
    <mergeCell ref="M88:P90"/>
    <mergeCell ref="O91:P91"/>
    <mergeCell ref="O92:P92"/>
    <mergeCell ref="K94:L94"/>
    <mergeCell ref="O93:P93"/>
    <mergeCell ref="O94:P94"/>
    <mergeCell ref="O95:P95"/>
    <mergeCell ref="A119:E119"/>
    <mergeCell ref="F119:G119"/>
    <mergeCell ref="B94:G94"/>
    <mergeCell ref="B95:G95"/>
    <mergeCell ref="A101:E101"/>
    <mergeCell ref="F101:G101"/>
    <mergeCell ref="B102:C102"/>
    <mergeCell ref="A103:E103"/>
    <mergeCell ref="F103:J103"/>
    <mergeCell ref="B105:J105"/>
    <mergeCell ref="A100:J100"/>
    <mergeCell ref="K108:L108"/>
    <mergeCell ref="A33:E33"/>
    <mergeCell ref="F33:G33"/>
    <mergeCell ref="A35:E35"/>
    <mergeCell ref="F35:J35"/>
    <mergeCell ref="F17:F20"/>
    <mergeCell ref="G17:G20"/>
    <mergeCell ref="H17:H20"/>
    <mergeCell ref="I17:I20"/>
    <mergeCell ref="K17:K20"/>
    <mergeCell ref="M108:N108"/>
    <mergeCell ref="I140:K140"/>
    <mergeCell ref="I141:K141"/>
    <mergeCell ref="I142:K142"/>
    <mergeCell ref="I143:K143"/>
    <mergeCell ref="B139:H139"/>
    <mergeCell ref="B140:H140"/>
    <mergeCell ref="B141:H141"/>
    <mergeCell ref="B142:H142"/>
    <mergeCell ref="B143:H143"/>
    <mergeCell ref="I139:K139"/>
    <mergeCell ref="A114:I114"/>
    <mergeCell ref="A123:I123"/>
    <mergeCell ref="A129:I129"/>
    <mergeCell ref="A132:I132"/>
    <mergeCell ref="A138:I138"/>
    <mergeCell ref="A134:E134"/>
    <mergeCell ref="F134:G134"/>
    <mergeCell ref="B135:C135"/>
    <mergeCell ref="A136:E136"/>
    <mergeCell ref="A137:G137"/>
    <mergeCell ref="F136:J136"/>
    <mergeCell ref="I159:J159"/>
    <mergeCell ref="I160:J160"/>
    <mergeCell ref="I161:J161"/>
    <mergeCell ref="K159:L159"/>
    <mergeCell ref="K160:L160"/>
    <mergeCell ref="K161:L161"/>
    <mergeCell ref="F152:G152"/>
    <mergeCell ref="A154:E154"/>
    <mergeCell ref="F154:J154"/>
    <mergeCell ref="K157:L157"/>
    <mergeCell ref="K158:L158"/>
    <mergeCell ref="I157:J157"/>
    <mergeCell ref="I158:J158"/>
    <mergeCell ref="B157:H157"/>
    <mergeCell ref="B158:H158"/>
    <mergeCell ref="A152:E152"/>
    <mergeCell ref="B159:H159"/>
    <mergeCell ref="B160:H160"/>
    <mergeCell ref="B161:H161"/>
    <mergeCell ref="I176:K176"/>
    <mergeCell ref="I178:K178"/>
    <mergeCell ref="B174:H174"/>
    <mergeCell ref="B175:H175"/>
    <mergeCell ref="B176:H176"/>
    <mergeCell ref="B177:H177"/>
    <mergeCell ref="B178:H178"/>
    <mergeCell ref="I177:K177"/>
    <mergeCell ref="A170:E170"/>
    <mergeCell ref="F170:G170"/>
    <mergeCell ref="A172:E172"/>
    <mergeCell ref="F172:J172"/>
    <mergeCell ref="I174:K174"/>
    <mergeCell ref="I175:K175"/>
    <mergeCell ref="I188:K188"/>
    <mergeCell ref="I189:K189"/>
    <mergeCell ref="I190:K190"/>
    <mergeCell ref="B186:H186"/>
    <mergeCell ref="B187:H187"/>
    <mergeCell ref="B188:H188"/>
    <mergeCell ref="B189:H189"/>
    <mergeCell ref="B190:H190"/>
    <mergeCell ref="F182:G182"/>
    <mergeCell ref="A184:E184"/>
    <mergeCell ref="F184:J184"/>
    <mergeCell ref="I186:K186"/>
    <mergeCell ref="I187:K187"/>
    <mergeCell ref="B183:C183"/>
    <mergeCell ref="O105:P105"/>
    <mergeCell ref="Q105:R105"/>
    <mergeCell ref="B106:J106"/>
    <mergeCell ref="K106:L106"/>
    <mergeCell ref="M106:N106"/>
    <mergeCell ref="O106:P106"/>
    <mergeCell ref="Q106:R106"/>
    <mergeCell ref="B107:J107"/>
    <mergeCell ref="K107:L107"/>
    <mergeCell ref="M107:N107"/>
    <mergeCell ref="O107:P107"/>
    <mergeCell ref="Q107:R107"/>
    <mergeCell ref="K105:L105"/>
    <mergeCell ref="M105:N105"/>
    <mergeCell ref="Q109:R109"/>
    <mergeCell ref="Q110:R110"/>
    <mergeCell ref="Q111:R111"/>
    <mergeCell ref="Q112:R112"/>
    <mergeCell ref="O108:P108"/>
    <mergeCell ref="Q108:R108"/>
    <mergeCell ref="B113:J113"/>
    <mergeCell ref="K113:L113"/>
    <mergeCell ref="M113:N113"/>
    <mergeCell ref="O113:P113"/>
    <mergeCell ref="Q113:R113"/>
    <mergeCell ref="B109:J109"/>
    <mergeCell ref="B110:J110"/>
    <mergeCell ref="B111:J111"/>
    <mergeCell ref="B112:J112"/>
    <mergeCell ref="K109:L109"/>
    <mergeCell ref="K110:L110"/>
    <mergeCell ref="K111:L111"/>
    <mergeCell ref="K112:L112"/>
    <mergeCell ref="M109:N109"/>
    <mergeCell ref="M110:N110"/>
    <mergeCell ref="M111:N111"/>
    <mergeCell ref="M112:N112"/>
    <mergeCell ref="B108:J108"/>
    <mergeCell ref="A168:XFD168"/>
    <mergeCell ref="A150:XFD150"/>
    <mergeCell ref="M56:N56"/>
    <mergeCell ref="O56:P56"/>
    <mergeCell ref="Q56:R56"/>
    <mergeCell ref="B57:H57"/>
    <mergeCell ref="I57:J57"/>
    <mergeCell ref="K57:L57"/>
    <mergeCell ref="M57:N57"/>
    <mergeCell ref="O57:P57"/>
    <mergeCell ref="Q57:R57"/>
    <mergeCell ref="B62:H62"/>
    <mergeCell ref="I62:J62"/>
    <mergeCell ref="K62:L62"/>
    <mergeCell ref="M62:N62"/>
    <mergeCell ref="O62:P62"/>
    <mergeCell ref="O109:P109"/>
    <mergeCell ref="O110:P110"/>
    <mergeCell ref="O111:P111"/>
    <mergeCell ref="O112:P112"/>
    <mergeCell ref="Q62:R62"/>
    <mergeCell ref="B78:H78"/>
    <mergeCell ref="I78:J78"/>
    <mergeCell ref="K78:L78"/>
    <mergeCell ref="D203:E203"/>
    <mergeCell ref="C204:E204"/>
    <mergeCell ref="F204:G204"/>
    <mergeCell ref="D205:E205"/>
    <mergeCell ref="C206:E206"/>
    <mergeCell ref="F206:G206"/>
    <mergeCell ref="A46:XFD46"/>
    <mergeCell ref="A48:E48"/>
    <mergeCell ref="F48:G48"/>
    <mergeCell ref="B49:C49"/>
    <mergeCell ref="A50:E50"/>
    <mergeCell ref="F50:J50"/>
    <mergeCell ref="A53:A55"/>
    <mergeCell ref="B53:H55"/>
    <mergeCell ref="I53:J55"/>
    <mergeCell ref="K53:L55"/>
    <mergeCell ref="M53:N55"/>
    <mergeCell ref="O53:P55"/>
    <mergeCell ref="Q53:R55"/>
    <mergeCell ref="B56:H56"/>
    <mergeCell ref="I56:J56"/>
    <mergeCell ref="K56:L56"/>
    <mergeCell ref="A98:J98"/>
    <mergeCell ref="A99:J99"/>
    <mergeCell ref="Q64:R64"/>
    <mergeCell ref="B65:H65"/>
    <mergeCell ref="I65:J65"/>
    <mergeCell ref="K65:L65"/>
    <mergeCell ref="M65:N65"/>
    <mergeCell ref="O65:P65"/>
    <mergeCell ref="Q65:R65"/>
    <mergeCell ref="B66:H66"/>
    <mergeCell ref="B60:H60"/>
    <mergeCell ref="I60:J60"/>
    <mergeCell ref="K60:L60"/>
    <mergeCell ref="M60:N60"/>
    <mergeCell ref="O60:P60"/>
    <mergeCell ref="Q60:R60"/>
    <mergeCell ref="B61:H61"/>
    <mergeCell ref="I61:J61"/>
    <mergeCell ref="K61:L61"/>
    <mergeCell ref="M61:N61"/>
    <mergeCell ref="O61:P61"/>
    <mergeCell ref="Q61:R61"/>
    <mergeCell ref="I66:J66"/>
    <mergeCell ref="K66:L66"/>
    <mergeCell ref="M66:N66"/>
    <mergeCell ref="O66:P66"/>
    <mergeCell ref="B58:H58"/>
    <mergeCell ref="I58:J58"/>
    <mergeCell ref="K58:L58"/>
    <mergeCell ref="M58:N58"/>
    <mergeCell ref="O58:P58"/>
    <mergeCell ref="Q58:R58"/>
    <mergeCell ref="B59:H59"/>
    <mergeCell ref="I59:J59"/>
    <mergeCell ref="K59:L59"/>
    <mergeCell ref="M59:N59"/>
    <mergeCell ref="O59:P59"/>
    <mergeCell ref="Q59:R59"/>
    <mergeCell ref="Q66:R66"/>
    <mergeCell ref="B67:H67"/>
    <mergeCell ref="I67:J67"/>
    <mergeCell ref="K67:L67"/>
    <mergeCell ref="M67:N67"/>
    <mergeCell ref="O67:P67"/>
    <mergeCell ref="Q67:R67"/>
    <mergeCell ref="B68:H68"/>
    <mergeCell ref="I68:J68"/>
    <mergeCell ref="K68:L68"/>
    <mergeCell ref="M68:N68"/>
    <mergeCell ref="O68:P68"/>
    <mergeCell ref="Q68:R68"/>
    <mergeCell ref="B69:H69"/>
    <mergeCell ref="I69:J69"/>
    <mergeCell ref="K69:L69"/>
    <mergeCell ref="M69:N69"/>
    <mergeCell ref="O69:P69"/>
    <mergeCell ref="Q69:R69"/>
    <mergeCell ref="B70:H70"/>
    <mergeCell ref="I70:J70"/>
    <mergeCell ref="K70:L70"/>
    <mergeCell ref="M70:N70"/>
    <mergeCell ref="O70:P70"/>
    <mergeCell ref="Q70:R70"/>
    <mergeCell ref="B71:H71"/>
    <mergeCell ref="I71:J71"/>
    <mergeCell ref="K71:L71"/>
    <mergeCell ref="M71:N71"/>
    <mergeCell ref="O71:P71"/>
    <mergeCell ref="Q71:R71"/>
    <mergeCell ref="B72:H72"/>
    <mergeCell ref="I72:J72"/>
    <mergeCell ref="K72:L72"/>
    <mergeCell ref="M72:N72"/>
    <mergeCell ref="O72:P72"/>
    <mergeCell ref="Q72:R72"/>
    <mergeCell ref="B73:H73"/>
    <mergeCell ref="I73:J73"/>
    <mergeCell ref="K73:L73"/>
    <mergeCell ref="M73:N73"/>
    <mergeCell ref="O73:P73"/>
    <mergeCell ref="Q73:R73"/>
    <mergeCell ref="B74:H74"/>
    <mergeCell ref="I74:J74"/>
    <mergeCell ref="K74:L74"/>
    <mergeCell ref="M74:N74"/>
    <mergeCell ref="O74:P74"/>
    <mergeCell ref="Q74:R74"/>
    <mergeCell ref="B77:H77"/>
    <mergeCell ref="I77:J77"/>
    <mergeCell ref="K77:L77"/>
    <mergeCell ref="M77:N77"/>
    <mergeCell ref="O77:P77"/>
    <mergeCell ref="Q77:R77"/>
    <mergeCell ref="B75:H75"/>
    <mergeCell ref="I75:J75"/>
    <mergeCell ref="K75:L75"/>
    <mergeCell ref="M75:N75"/>
    <mergeCell ref="O75:P75"/>
    <mergeCell ref="Q75:R75"/>
    <mergeCell ref="B76:H76"/>
    <mergeCell ref="I76:J76"/>
    <mergeCell ref="K76:L76"/>
    <mergeCell ref="M76:N76"/>
    <mergeCell ref="O76:P76"/>
    <mergeCell ref="Q76:R76"/>
  </mergeCells>
  <pageMargins left="0.31496062992125984" right="0.31496062992125984" top="0.23622047244094488" bottom="0.23622047244094488" header="0.31496062992125984" footer="0.31496062992125984"/>
  <pageSetup paperSize="9" scale="62" orientation="landscape" r:id="rId1"/>
  <rowBreaks count="2" manualBreakCount="2">
    <brk id="29" max="21" man="1"/>
    <brk id="114"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4" zoomScale="60" workbookViewId="0">
      <selection activeCell="H67" sqref="H67"/>
    </sheetView>
  </sheetViews>
  <sheetFormatPr defaultRowHeight="15.75" x14ac:dyDescent="0.25"/>
  <cols>
    <col min="1" max="1" width="6.42578125" style="212" customWidth="1"/>
    <col min="2" max="2" width="49" style="213" customWidth="1"/>
    <col min="3" max="3" width="10.140625" style="213" customWidth="1"/>
    <col min="4" max="4" width="21.5703125" style="213" customWidth="1"/>
    <col min="5" max="6" width="19.5703125" style="213" customWidth="1"/>
    <col min="7" max="7" width="28.7109375" style="213" customWidth="1"/>
    <col min="8" max="8" width="20.7109375" style="213" customWidth="1"/>
    <col min="9" max="9" width="24.7109375" style="213" customWidth="1"/>
    <col min="10" max="11" width="9.140625" style="213"/>
    <col min="12" max="12" width="15.7109375" style="213" bestFit="1" customWidth="1"/>
    <col min="13" max="16" width="9.140625" style="213"/>
    <col min="17" max="16384" width="9.140625" style="214"/>
  </cols>
  <sheetData>
    <row r="1" spans="1:19" x14ac:dyDescent="0.25">
      <c r="I1" s="438" t="s">
        <v>246</v>
      </c>
      <c r="J1" s="438"/>
      <c r="K1" s="438"/>
    </row>
    <row r="2" spans="1:19" ht="15.75" customHeight="1" x14ac:dyDescent="0.25">
      <c r="A2" s="521" t="s">
        <v>346</v>
      </c>
      <c r="B2" s="521"/>
      <c r="C2" s="521"/>
      <c r="D2" s="521"/>
      <c r="E2" s="521"/>
      <c r="F2" s="521"/>
      <c r="G2" s="521"/>
      <c r="H2" s="521"/>
      <c r="I2" s="521"/>
      <c r="J2" s="521"/>
      <c r="K2" s="521"/>
      <c r="L2" s="215"/>
      <c r="M2" s="215"/>
      <c r="N2" s="215"/>
      <c r="O2" s="215"/>
      <c r="P2" s="215"/>
      <c r="Q2" s="215"/>
      <c r="R2" s="215"/>
      <c r="S2" s="215"/>
    </row>
    <row r="3" spans="1:19" ht="15.75" customHeight="1" x14ac:dyDescent="0.25">
      <c r="A3" s="521" t="s">
        <v>663</v>
      </c>
      <c r="B3" s="521"/>
      <c r="C3" s="521"/>
      <c r="D3" s="521"/>
      <c r="E3" s="521"/>
      <c r="F3" s="521"/>
      <c r="G3" s="521"/>
      <c r="H3" s="521"/>
      <c r="I3" s="521"/>
      <c r="J3" s="521"/>
      <c r="K3" s="521"/>
      <c r="L3" s="215"/>
      <c r="M3" s="215"/>
      <c r="N3" s="215"/>
      <c r="O3" s="215"/>
      <c r="P3" s="215"/>
      <c r="Q3" s="215"/>
      <c r="R3" s="215"/>
      <c r="S3" s="215"/>
    </row>
    <row r="4" spans="1:19" ht="15" x14ac:dyDescent="0.25">
      <c r="A4" s="522"/>
      <c r="B4" s="522"/>
      <c r="C4" s="522"/>
      <c r="D4" s="522"/>
      <c r="E4" s="522"/>
      <c r="F4" s="522"/>
      <c r="G4" s="522"/>
      <c r="H4" s="522"/>
      <c r="I4" s="522"/>
      <c r="J4" s="522"/>
      <c r="K4" s="522"/>
      <c r="L4" s="522"/>
      <c r="M4" s="522"/>
      <c r="N4" s="522"/>
      <c r="O4" s="522"/>
      <c r="P4" s="522"/>
      <c r="Q4" s="522"/>
      <c r="R4" s="522"/>
      <c r="S4" s="522"/>
    </row>
    <row r="5" spans="1:19" ht="27" customHeight="1" x14ac:dyDescent="0.25">
      <c r="A5" s="523" t="s">
        <v>439</v>
      </c>
      <c r="B5" s="523"/>
      <c r="C5" s="216"/>
      <c r="D5" s="216"/>
      <c r="E5" s="216"/>
      <c r="F5" s="216"/>
      <c r="G5" s="216"/>
      <c r="H5" s="217"/>
      <c r="I5" s="217"/>
      <c r="J5" s="218"/>
      <c r="K5" s="218"/>
      <c r="L5" s="218"/>
      <c r="M5" s="218"/>
      <c r="N5" s="218"/>
      <c r="O5" s="218"/>
      <c r="P5" s="218"/>
      <c r="Q5" s="218"/>
      <c r="R5" s="218"/>
      <c r="S5" s="218"/>
    </row>
    <row r="6" spans="1:19" ht="19.5" customHeight="1" x14ac:dyDescent="0.25">
      <c r="A6" s="219"/>
      <c r="B6" s="219"/>
      <c r="C6" s="217"/>
      <c r="D6" s="217"/>
      <c r="E6" s="217"/>
      <c r="F6" s="217"/>
      <c r="G6" s="217"/>
      <c r="H6" s="217"/>
      <c r="I6" s="217"/>
      <c r="J6" s="218"/>
      <c r="K6" s="218"/>
      <c r="L6" s="218"/>
      <c r="M6" s="218"/>
      <c r="N6" s="218"/>
      <c r="O6" s="218"/>
      <c r="P6" s="218"/>
      <c r="Q6" s="218"/>
      <c r="R6" s="218"/>
      <c r="S6" s="218"/>
    </row>
    <row r="7" spans="1:19" s="222" customFormat="1" x14ac:dyDescent="0.25">
      <c r="A7" s="220" t="s">
        <v>437</v>
      </c>
      <c r="B7" s="220"/>
      <c r="C7" s="220"/>
      <c r="D7" s="220"/>
      <c r="E7" s="220"/>
      <c r="F7" s="220"/>
      <c r="G7" s="220"/>
      <c r="H7" s="220"/>
      <c r="I7" s="221"/>
      <c r="J7" s="221"/>
      <c r="K7" s="221"/>
      <c r="L7" s="221"/>
      <c r="M7" s="221"/>
      <c r="N7" s="221"/>
      <c r="O7" s="221"/>
      <c r="P7" s="221"/>
    </row>
    <row r="8" spans="1:19" x14ac:dyDescent="0.25">
      <c r="A8" s="218"/>
      <c r="B8" s="218"/>
      <c r="C8" s="218"/>
      <c r="D8" s="214"/>
      <c r="E8" s="214"/>
      <c r="F8" s="214"/>
      <c r="G8" s="214"/>
      <c r="H8" s="214"/>
      <c r="I8" s="214"/>
      <c r="J8" s="214"/>
      <c r="K8" s="214"/>
      <c r="L8" s="214"/>
      <c r="M8" s="214"/>
      <c r="N8" s="214"/>
      <c r="O8" s="214"/>
      <c r="P8" s="214"/>
    </row>
    <row r="9" spans="1:19" ht="19.5" customHeight="1" x14ac:dyDescent="0.25">
      <c r="A9" s="523" t="s">
        <v>351</v>
      </c>
      <c r="B9" s="523"/>
      <c r="C9" s="524" t="s">
        <v>440</v>
      </c>
      <c r="D9" s="524"/>
      <c r="E9" s="223"/>
      <c r="F9" s="217"/>
      <c r="G9" s="217"/>
      <c r="H9" s="217"/>
      <c r="I9" s="217"/>
      <c r="J9" s="217"/>
      <c r="K9" s="214"/>
      <c r="L9" s="214"/>
      <c r="M9" s="217"/>
      <c r="N9" s="217"/>
      <c r="O9" s="217"/>
      <c r="P9" s="214"/>
    </row>
    <row r="10" spans="1:19" ht="19.5" customHeight="1" x14ac:dyDescent="0.25">
      <c r="A10" s="219"/>
      <c r="B10" s="219"/>
      <c r="C10" s="217"/>
      <c r="D10" s="217"/>
      <c r="E10" s="217"/>
      <c r="F10" s="217"/>
      <c r="G10" s="217"/>
      <c r="H10" s="217"/>
      <c r="I10" s="217"/>
      <c r="J10" s="217"/>
      <c r="K10" s="214"/>
      <c r="L10" s="214"/>
      <c r="M10" s="217"/>
      <c r="N10" s="217"/>
      <c r="O10" s="217"/>
      <c r="P10" s="214"/>
    </row>
    <row r="11" spans="1:19" ht="19.5" customHeight="1" x14ac:dyDescent="0.25">
      <c r="A11" s="523" t="s">
        <v>349</v>
      </c>
      <c r="B11" s="523"/>
      <c r="C11" s="524" t="s">
        <v>441</v>
      </c>
      <c r="D11" s="524"/>
      <c r="E11" s="217"/>
      <c r="F11" s="525"/>
      <c r="G11" s="525"/>
      <c r="H11" s="214"/>
      <c r="I11" s="214"/>
      <c r="J11" s="214"/>
      <c r="K11" s="214"/>
      <c r="L11" s="214"/>
      <c r="M11" s="214"/>
      <c r="N11" s="214"/>
      <c r="O11" s="214"/>
      <c r="P11" s="214"/>
    </row>
    <row r="12" spans="1:19" ht="15" x14ac:dyDescent="0.25">
      <c r="A12" s="224"/>
      <c r="B12" s="526"/>
      <c r="C12" s="526"/>
      <c r="D12" s="214"/>
      <c r="E12" s="214"/>
      <c r="F12" s="214"/>
      <c r="G12" s="214"/>
      <c r="H12" s="214"/>
      <c r="I12" s="214"/>
      <c r="J12" s="214"/>
      <c r="K12" s="214"/>
      <c r="L12" s="214"/>
      <c r="M12" s="214"/>
      <c r="N12" s="214"/>
      <c r="O12" s="214"/>
      <c r="P12" s="214"/>
    </row>
    <row r="13" spans="1:19" s="228" customFormat="1" ht="52.5" customHeight="1" x14ac:dyDescent="0.25">
      <c r="A13" s="225" t="s">
        <v>253</v>
      </c>
      <c r="B13" s="527" t="s">
        <v>442</v>
      </c>
      <c r="C13" s="528"/>
      <c r="D13" s="226" t="s">
        <v>443</v>
      </c>
      <c r="E13" s="226" t="s">
        <v>444</v>
      </c>
      <c r="F13" s="226" t="s">
        <v>445</v>
      </c>
      <c r="G13" s="226" t="s">
        <v>782</v>
      </c>
      <c r="H13" s="226" t="s">
        <v>446</v>
      </c>
      <c r="I13" s="226" t="s">
        <v>447</v>
      </c>
      <c r="J13" s="227"/>
      <c r="K13" s="227"/>
      <c r="L13" s="227"/>
      <c r="M13" s="227"/>
      <c r="N13" s="227"/>
      <c r="O13" s="227"/>
      <c r="P13" s="227"/>
    </row>
    <row r="14" spans="1:19" s="233" customFormat="1" ht="32.25" customHeight="1" x14ac:dyDescent="0.25">
      <c r="A14" s="229" t="s">
        <v>448</v>
      </c>
      <c r="B14" s="520" t="s">
        <v>651</v>
      </c>
      <c r="C14" s="520"/>
      <c r="D14" s="230">
        <v>657</v>
      </c>
      <c r="E14" s="230" t="s">
        <v>19</v>
      </c>
      <c r="F14" s="231">
        <f>SUM(F16:F21)</f>
        <v>36422454</v>
      </c>
      <c r="G14" s="230" t="s">
        <v>19</v>
      </c>
      <c r="H14" s="230">
        <f>SUM(H18:H19)</f>
        <v>-489222</v>
      </c>
      <c r="I14" s="231">
        <f>SUM(I16:I23)</f>
        <v>38395008</v>
      </c>
      <c r="J14" s="232"/>
      <c r="K14" s="232"/>
      <c r="L14" s="232"/>
      <c r="M14" s="232"/>
      <c r="N14" s="232"/>
      <c r="O14" s="232"/>
      <c r="P14" s="232"/>
    </row>
    <row r="15" spans="1:19" s="233" customFormat="1" x14ac:dyDescent="0.25">
      <c r="A15" s="229"/>
      <c r="B15" s="234" t="s">
        <v>23</v>
      </c>
      <c r="C15" s="234"/>
      <c r="D15" s="230"/>
      <c r="E15" s="231"/>
      <c r="F15" s="231"/>
      <c r="G15" s="231"/>
      <c r="H15" s="231"/>
      <c r="I15" s="231"/>
      <c r="J15" s="232"/>
      <c r="K15" s="232"/>
      <c r="L15" s="232"/>
      <c r="M15" s="232"/>
      <c r="N15" s="232"/>
      <c r="O15" s="232"/>
      <c r="P15" s="232"/>
    </row>
    <row r="16" spans="1:19" s="233" customFormat="1" x14ac:dyDescent="0.25">
      <c r="A16" s="529" t="s">
        <v>290</v>
      </c>
      <c r="B16" s="535" t="s">
        <v>652</v>
      </c>
      <c r="C16" s="234" t="s">
        <v>449</v>
      </c>
      <c r="D16" s="533">
        <f>37</f>
        <v>37</v>
      </c>
      <c r="E16" s="235">
        <v>79072</v>
      </c>
      <c r="F16" s="231">
        <f>D16*E16</f>
        <v>2925664</v>
      </c>
      <c r="G16" s="231"/>
      <c r="H16" s="231"/>
      <c r="I16" s="231">
        <f>F16+G16+H16</f>
        <v>2925664</v>
      </c>
      <c r="J16" s="232"/>
      <c r="K16" s="232"/>
      <c r="L16" s="232"/>
      <c r="M16" s="232"/>
      <c r="N16" s="232"/>
      <c r="O16" s="232"/>
      <c r="P16" s="232"/>
    </row>
    <row r="17" spans="1:16" s="233" customFormat="1" ht="33" customHeight="1" x14ac:dyDescent="0.25">
      <c r="A17" s="530"/>
      <c r="B17" s="536"/>
      <c r="C17" s="234" t="s">
        <v>450</v>
      </c>
      <c r="D17" s="534"/>
      <c r="E17" s="231">
        <v>1006</v>
      </c>
      <c r="F17" s="231">
        <f>D16*E17</f>
        <v>37222</v>
      </c>
      <c r="G17" s="231"/>
      <c r="H17" s="231"/>
      <c r="I17" s="231">
        <f t="shared" ref="I17:I23" si="0">F17+G17+H17</f>
        <v>37222</v>
      </c>
      <c r="J17" s="232"/>
      <c r="K17" s="232"/>
      <c r="L17" s="232"/>
      <c r="M17" s="232"/>
      <c r="N17" s="232"/>
      <c r="O17" s="232"/>
      <c r="P17" s="232"/>
    </row>
    <row r="18" spans="1:16" s="233" customFormat="1" ht="20.25" customHeight="1" x14ac:dyDescent="0.25">
      <c r="A18" s="529" t="s">
        <v>291</v>
      </c>
      <c r="B18" s="531" t="s">
        <v>780</v>
      </c>
      <c r="C18" s="236" t="s">
        <v>449</v>
      </c>
      <c r="D18" s="533">
        <v>577</v>
      </c>
      <c r="E18" s="231">
        <v>53352</v>
      </c>
      <c r="F18" s="231">
        <f>D18*E18</f>
        <v>30784104</v>
      </c>
      <c r="G18" s="231"/>
      <c r="H18" s="231">
        <f>-480168</f>
        <v>-480168</v>
      </c>
      <c r="I18" s="231">
        <f t="shared" si="0"/>
        <v>30303936</v>
      </c>
      <c r="J18" s="232"/>
      <c r="K18" s="232"/>
      <c r="L18" s="232"/>
      <c r="M18" s="232"/>
      <c r="N18" s="232"/>
      <c r="O18" s="232"/>
      <c r="P18" s="232"/>
    </row>
    <row r="19" spans="1:16" s="233" customFormat="1" ht="20.25" customHeight="1" x14ac:dyDescent="0.25">
      <c r="A19" s="530"/>
      <c r="B19" s="532"/>
      <c r="C19" s="234" t="s">
        <v>450</v>
      </c>
      <c r="D19" s="534"/>
      <c r="E19" s="231">
        <v>1006</v>
      </c>
      <c r="F19" s="231">
        <f>D18*E19</f>
        <v>580462</v>
      </c>
      <c r="G19" s="231"/>
      <c r="H19" s="231">
        <f>-9054</f>
        <v>-9054</v>
      </c>
      <c r="I19" s="231">
        <f t="shared" si="0"/>
        <v>571408</v>
      </c>
      <c r="J19" s="232"/>
      <c r="K19" s="232"/>
      <c r="L19" s="232"/>
      <c r="M19" s="232"/>
      <c r="N19" s="232"/>
      <c r="O19" s="232"/>
      <c r="P19" s="232"/>
    </row>
    <row r="20" spans="1:16" s="233" customFormat="1" ht="33" customHeight="1" x14ac:dyDescent="0.25">
      <c r="A20" s="529" t="s">
        <v>292</v>
      </c>
      <c r="B20" s="531" t="s">
        <v>781</v>
      </c>
      <c r="C20" s="236" t="s">
        <v>449</v>
      </c>
      <c r="D20" s="533">
        <v>18</v>
      </c>
      <c r="E20" s="231">
        <v>115383</v>
      </c>
      <c r="F20" s="231">
        <f>D20*E20</f>
        <v>2076894</v>
      </c>
      <c r="G20" s="231"/>
      <c r="H20" s="231">
        <f>1038447</f>
        <v>1038447</v>
      </c>
      <c r="I20" s="231">
        <f t="shared" si="0"/>
        <v>3115341</v>
      </c>
      <c r="J20" s="232"/>
      <c r="K20" s="232"/>
      <c r="L20" s="232"/>
      <c r="M20" s="232"/>
      <c r="N20" s="232"/>
      <c r="O20" s="232"/>
      <c r="P20" s="232"/>
    </row>
    <row r="21" spans="1:16" s="233" customFormat="1" ht="24.75" customHeight="1" x14ac:dyDescent="0.25">
      <c r="A21" s="530"/>
      <c r="B21" s="532"/>
      <c r="C21" s="234" t="s">
        <v>450</v>
      </c>
      <c r="D21" s="534"/>
      <c r="E21" s="231">
        <v>1006</v>
      </c>
      <c r="F21" s="231">
        <f>D20*E21</f>
        <v>18108</v>
      </c>
      <c r="G21" s="231"/>
      <c r="H21" s="231">
        <f>9054</f>
        <v>9054</v>
      </c>
      <c r="I21" s="231">
        <f t="shared" si="0"/>
        <v>27162</v>
      </c>
      <c r="J21" s="232"/>
      <c r="K21" s="232"/>
      <c r="L21" s="232"/>
      <c r="M21" s="232"/>
      <c r="N21" s="232"/>
      <c r="O21" s="232"/>
      <c r="P21" s="232"/>
    </row>
    <row r="22" spans="1:16" s="233" customFormat="1" ht="28.5" customHeight="1" x14ac:dyDescent="0.25">
      <c r="A22" s="539" t="s">
        <v>452</v>
      </c>
      <c r="B22" s="541" t="s">
        <v>653</v>
      </c>
      <c r="C22" s="237" t="s">
        <v>449</v>
      </c>
      <c r="D22" s="533">
        <v>25</v>
      </c>
      <c r="E22" s="231">
        <v>55565</v>
      </c>
      <c r="F22" s="231">
        <f>D22*E22</f>
        <v>1389125</v>
      </c>
      <c r="G22" s="231"/>
      <c r="H22" s="231"/>
      <c r="I22" s="231">
        <f t="shared" si="0"/>
        <v>1389125</v>
      </c>
      <c r="J22" s="232"/>
      <c r="K22" s="232"/>
      <c r="L22" s="232"/>
      <c r="M22" s="232"/>
      <c r="N22" s="232"/>
      <c r="O22" s="232"/>
      <c r="P22" s="232"/>
    </row>
    <row r="23" spans="1:16" s="233" customFormat="1" ht="28.5" customHeight="1" x14ac:dyDescent="0.25">
      <c r="A23" s="540"/>
      <c r="B23" s="541"/>
      <c r="C23" s="237" t="s">
        <v>450</v>
      </c>
      <c r="D23" s="534"/>
      <c r="E23" s="231">
        <v>1006</v>
      </c>
      <c r="F23" s="231">
        <f>D22*E23</f>
        <v>25150</v>
      </c>
      <c r="G23" s="231"/>
      <c r="H23" s="231"/>
      <c r="I23" s="231">
        <f t="shared" si="0"/>
        <v>25150</v>
      </c>
      <c r="J23" s="232"/>
      <c r="K23" s="232"/>
      <c r="L23" s="232"/>
      <c r="M23" s="232"/>
      <c r="N23" s="232"/>
      <c r="O23" s="232"/>
      <c r="P23" s="232"/>
    </row>
    <row r="24" spans="1:16" s="233" customFormat="1" x14ac:dyDescent="0.25">
      <c r="A24" s="542" t="s">
        <v>260</v>
      </c>
      <c r="B24" s="543"/>
      <c r="C24" s="544"/>
      <c r="D24" s="238" t="s">
        <v>19</v>
      </c>
      <c r="E24" s="238" t="s">
        <v>19</v>
      </c>
      <c r="F24" s="238" t="s">
        <v>19</v>
      </c>
      <c r="G24" s="238" t="s">
        <v>19</v>
      </c>
      <c r="H24" s="238" t="s">
        <v>19</v>
      </c>
      <c r="I24" s="239">
        <f>I14</f>
        <v>38395008</v>
      </c>
      <c r="J24" s="232"/>
      <c r="K24" s="232"/>
      <c r="L24" s="232"/>
      <c r="M24" s="232"/>
      <c r="N24" s="232"/>
      <c r="O24" s="232"/>
      <c r="P24" s="232"/>
    </row>
    <row r="26" spans="1:16" s="222" customFormat="1" x14ac:dyDescent="0.25">
      <c r="A26" s="220" t="s">
        <v>453</v>
      </c>
      <c r="B26" s="220"/>
      <c r="C26" s="220"/>
      <c r="D26" s="220"/>
      <c r="E26" s="220"/>
      <c r="F26" s="220"/>
      <c r="G26" s="220"/>
      <c r="H26" s="220"/>
      <c r="I26" s="220"/>
      <c r="J26" s="221"/>
      <c r="K26" s="221"/>
      <c r="L26" s="221"/>
      <c r="M26" s="221"/>
      <c r="N26" s="221"/>
      <c r="O26" s="221"/>
      <c r="P26" s="221"/>
    </row>
    <row r="27" spans="1:16" x14ac:dyDescent="0.25">
      <c r="A27" s="218"/>
      <c r="B27" s="218"/>
      <c r="C27" s="218"/>
      <c r="D27" s="214"/>
      <c r="E27" s="214"/>
      <c r="F27" s="214"/>
      <c r="G27" s="214"/>
      <c r="H27" s="214"/>
      <c r="I27" s="214"/>
      <c r="J27" s="214"/>
      <c r="K27" s="214"/>
      <c r="L27" s="214"/>
      <c r="M27" s="214"/>
      <c r="N27" s="214"/>
      <c r="O27" s="214"/>
      <c r="P27" s="214"/>
    </row>
    <row r="28" spans="1:16" ht="19.5" customHeight="1" x14ac:dyDescent="0.25">
      <c r="A28" s="523" t="s">
        <v>351</v>
      </c>
      <c r="B28" s="523"/>
      <c r="C28" s="524" t="s">
        <v>440</v>
      </c>
      <c r="D28" s="524"/>
      <c r="E28" s="223"/>
      <c r="F28" s="217"/>
      <c r="G28" s="217"/>
      <c r="H28" s="217"/>
      <c r="I28" s="217"/>
      <c r="J28" s="217"/>
      <c r="K28" s="214"/>
      <c r="L28" s="214"/>
      <c r="M28" s="217"/>
      <c r="N28" s="217"/>
      <c r="O28" s="217"/>
      <c r="P28" s="214"/>
    </row>
    <row r="29" spans="1:16" ht="19.5" customHeight="1" x14ac:dyDescent="0.25">
      <c r="A29" s="219"/>
      <c r="B29" s="219"/>
      <c r="C29" s="217"/>
      <c r="D29" s="217"/>
      <c r="E29" s="217"/>
      <c r="F29" s="217"/>
      <c r="G29" s="217"/>
      <c r="H29" s="217"/>
      <c r="I29" s="217"/>
      <c r="J29" s="217"/>
      <c r="K29" s="214"/>
      <c r="L29" s="214"/>
      <c r="M29" s="217"/>
      <c r="N29" s="217"/>
      <c r="O29" s="217"/>
      <c r="P29" s="214"/>
    </row>
    <row r="30" spans="1:16" ht="19.5" customHeight="1" x14ac:dyDescent="0.25">
      <c r="A30" s="523" t="s">
        <v>349</v>
      </c>
      <c r="B30" s="523"/>
      <c r="C30" s="524" t="s">
        <v>441</v>
      </c>
      <c r="D30" s="524"/>
      <c r="E30" s="217"/>
      <c r="F30" s="525"/>
      <c r="G30" s="525"/>
      <c r="H30" s="214"/>
      <c r="I30" s="214"/>
      <c r="J30" s="214"/>
      <c r="K30" s="214"/>
      <c r="L30" s="214"/>
      <c r="M30" s="214"/>
      <c r="N30" s="214"/>
      <c r="O30" s="214"/>
      <c r="P30" s="214"/>
    </row>
    <row r="31" spans="1:16" x14ac:dyDescent="0.25">
      <c r="A31" s="240"/>
      <c r="B31" s="241"/>
      <c r="C31" s="241"/>
      <c r="D31" s="241"/>
      <c r="E31" s="241"/>
      <c r="F31" s="241"/>
      <c r="G31" s="241"/>
      <c r="H31" s="241"/>
    </row>
    <row r="32" spans="1:16" s="228" customFormat="1" ht="82.5" customHeight="1" x14ac:dyDescent="0.25">
      <c r="A32" s="225" t="s">
        <v>253</v>
      </c>
      <c r="B32" s="527" t="s">
        <v>442</v>
      </c>
      <c r="C32" s="528"/>
      <c r="D32" s="226" t="s">
        <v>443</v>
      </c>
      <c r="E32" s="226" t="s">
        <v>444</v>
      </c>
      <c r="F32" s="226" t="s">
        <v>445</v>
      </c>
      <c r="G32" s="226" t="s">
        <v>454</v>
      </c>
      <c r="H32" s="226" t="s">
        <v>446</v>
      </c>
      <c r="I32" s="226" t="s">
        <v>447</v>
      </c>
      <c r="J32" s="227"/>
      <c r="K32" s="227"/>
      <c r="L32" s="227"/>
      <c r="M32" s="227"/>
      <c r="N32" s="227"/>
      <c r="O32" s="227"/>
      <c r="P32" s="227"/>
    </row>
    <row r="33" spans="1:16" s="233" customFormat="1" ht="32.25" customHeight="1" x14ac:dyDescent="0.25">
      <c r="A33" s="229" t="s">
        <v>448</v>
      </c>
      <c r="B33" s="520" t="s">
        <v>654</v>
      </c>
      <c r="C33" s="520"/>
      <c r="D33" s="242">
        <v>657</v>
      </c>
      <c r="E33" s="234" t="s">
        <v>19</v>
      </c>
      <c r="F33" s="243">
        <f>F35+F37+F36</f>
        <v>3431833.1799999997</v>
      </c>
      <c r="G33" s="234">
        <f>SUM(G35:G35)</f>
        <v>0</v>
      </c>
      <c r="H33" s="234">
        <f>SUM(H35:H35)</f>
        <v>-2881.8</v>
      </c>
      <c r="I33" s="243">
        <f>SUM(I35:I38)</f>
        <v>3437212.7899999996</v>
      </c>
      <c r="J33" s="232"/>
      <c r="K33" s="232"/>
      <c r="L33" s="232"/>
      <c r="M33" s="232"/>
      <c r="N33" s="232"/>
      <c r="O33" s="232"/>
      <c r="P33" s="232"/>
    </row>
    <row r="34" spans="1:16" s="233" customFormat="1" x14ac:dyDescent="0.25">
      <c r="A34" s="229"/>
      <c r="B34" s="537" t="s">
        <v>23</v>
      </c>
      <c r="C34" s="538"/>
      <c r="D34" s="234"/>
      <c r="E34" s="243"/>
      <c r="F34" s="243"/>
      <c r="G34" s="243"/>
      <c r="H34" s="243"/>
      <c r="I34" s="243"/>
      <c r="J34" s="232"/>
      <c r="K34" s="232"/>
      <c r="L34" s="232"/>
      <c r="M34" s="232"/>
      <c r="N34" s="232"/>
      <c r="O34" s="232"/>
      <c r="P34" s="232"/>
    </row>
    <row r="35" spans="1:16" s="233" customFormat="1" ht="75" customHeight="1" x14ac:dyDescent="0.25">
      <c r="A35" s="244" t="s">
        <v>290</v>
      </c>
      <c r="B35" s="245" t="s">
        <v>783</v>
      </c>
      <c r="C35" s="230" t="s">
        <v>450</v>
      </c>
      <c r="D35" s="230">
        <v>37</v>
      </c>
      <c r="E35" s="246">
        <v>6630.34</v>
      </c>
      <c r="F35" s="231">
        <f>D35*E35</f>
        <v>245322.58000000002</v>
      </c>
      <c r="G35" s="231"/>
      <c r="H35" s="231">
        <f>-2881.8</f>
        <v>-2881.8</v>
      </c>
      <c r="I35" s="231">
        <f>F35+G35+H35</f>
        <v>242440.78000000003</v>
      </c>
      <c r="J35" s="232"/>
      <c r="K35" s="232"/>
      <c r="L35" s="232"/>
      <c r="M35" s="232"/>
      <c r="N35" s="232"/>
      <c r="O35" s="232"/>
      <c r="P35" s="232"/>
    </row>
    <row r="36" spans="1:16" s="233" customFormat="1" ht="67.5" customHeight="1" x14ac:dyDescent="0.25">
      <c r="A36" s="244" t="s">
        <v>291</v>
      </c>
      <c r="B36" s="245" t="s">
        <v>784</v>
      </c>
      <c r="C36" s="230" t="s">
        <v>450</v>
      </c>
      <c r="D36" s="230">
        <v>577</v>
      </c>
      <c r="E36" s="231">
        <v>5355.48</v>
      </c>
      <c r="F36" s="231">
        <f>D36*E36</f>
        <v>3090111.96</v>
      </c>
      <c r="G36" s="231"/>
      <c r="H36" s="231">
        <f>-44940.57-48199.32</f>
        <v>-93139.89</v>
      </c>
      <c r="I36" s="231">
        <f>F36+G36+H36</f>
        <v>2996972.07</v>
      </c>
      <c r="J36" s="232"/>
      <c r="K36" s="232"/>
      <c r="L36" s="232"/>
      <c r="M36" s="232"/>
      <c r="N36" s="232"/>
      <c r="O36" s="232"/>
      <c r="P36" s="232"/>
    </row>
    <row r="37" spans="1:16" s="233" customFormat="1" ht="69" customHeight="1" x14ac:dyDescent="0.25">
      <c r="A37" s="244" t="s">
        <v>292</v>
      </c>
      <c r="B37" s="245" t="s">
        <v>785</v>
      </c>
      <c r="C37" s="230" t="s">
        <v>450</v>
      </c>
      <c r="D37" s="230">
        <v>18</v>
      </c>
      <c r="E37" s="231">
        <v>5355.48</v>
      </c>
      <c r="F37" s="231">
        <f>D37*E37</f>
        <v>96398.639999999985</v>
      </c>
      <c r="G37" s="231"/>
      <c r="H37" s="231">
        <f>-1401.96+48199.32</f>
        <v>46797.36</v>
      </c>
      <c r="I37" s="231">
        <f>F37+G37+H37</f>
        <v>143196</v>
      </c>
      <c r="J37" s="232"/>
      <c r="K37" s="232"/>
      <c r="L37" s="232"/>
      <c r="M37" s="232"/>
      <c r="N37" s="232"/>
      <c r="O37" s="232"/>
      <c r="P37" s="232"/>
    </row>
    <row r="38" spans="1:16" s="233" customFormat="1" ht="69" customHeight="1" x14ac:dyDescent="0.25">
      <c r="A38" s="244" t="s">
        <v>451</v>
      </c>
      <c r="B38" s="245" t="s">
        <v>655</v>
      </c>
      <c r="C38" s="230" t="s">
        <v>450</v>
      </c>
      <c r="D38" s="230">
        <v>25</v>
      </c>
      <c r="E38" s="231">
        <v>2210.12</v>
      </c>
      <c r="F38" s="231">
        <f>D38*E38</f>
        <v>55253</v>
      </c>
      <c r="G38" s="231"/>
      <c r="H38" s="231">
        <f>-649.06</f>
        <v>-649.05999999999995</v>
      </c>
      <c r="I38" s="231">
        <f>F38+G38+H38</f>
        <v>54603.94</v>
      </c>
      <c r="J38" s="232"/>
      <c r="K38" s="232"/>
      <c r="L38" s="232"/>
      <c r="M38" s="232"/>
      <c r="N38" s="232"/>
      <c r="O38" s="232"/>
      <c r="P38" s="232"/>
    </row>
    <row r="39" spans="1:16" s="233" customFormat="1" x14ac:dyDescent="0.25">
      <c r="A39" s="244" t="s">
        <v>80</v>
      </c>
      <c r="B39" s="547" t="s">
        <v>656</v>
      </c>
      <c r="C39" s="548"/>
      <c r="D39" s="230">
        <v>511</v>
      </c>
      <c r="E39" s="230" t="s">
        <v>19</v>
      </c>
      <c r="F39" s="231">
        <f>F41+F42</f>
        <v>2614400.61</v>
      </c>
      <c r="G39" s="231">
        <f>SUM(G44:G50)</f>
        <v>0</v>
      </c>
      <c r="H39" s="231">
        <f>SUM(H44:H50)</f>
        <v>283952.57</v>
      </c>
      <c r="I39" s="231">
        <f>SUM(I41:I43)</f>
        <v>2575726.23</v>
      </c>
      <c r="J39" s="232"/>
      <c r="K39" s="232"/>
      <c r="L39" s="232"/>
      <c r="M39" s="232"/>
      <c r="N39" s="232"/>
      <c r="O39" s="232"/>
      <c r="P39" s="232"/>
    </row>
    <row r="40" spans="1:16" s="233" customFormat="1" x14ac:dyDescent="0.25">
      <c r="A40" s="244"/>
      <c r="B40" s="549" t="s">
        <v>23</v>
      </c>
      <c r="C40" s="550"/>
      <c r="D40" s="230"/>
      <c r="E40" s="231"/>
      <c r="F40" s="231"/>
      <c r="G40" s="231"/>
      <c r="H40" s="231"/>
      <c r="I40" s="231"/>
      <c r="J40" s="232"/>
      <c r="K40" s="232"/>
      <c r="L40" s="232"/>
      <c r="M40" s="232"/>
      <c r="N40" s="232"/>
      <c r="O40" s="232"/>
      <c r="P40" s="232"/>
    </row>
    <row r="41" spans="1:16" s="233" customFormat="1" ht="47.25" customHeight="1" x14ac:dyDescent="0.25">
      <c r="A41" s="244" t="s">
        <v>293</v>
      </c>
      <c r="B41" s="247" t="s">
        <v>786</v>
      </c>
      <c r="C41" s="230" t="s">
        <v>450</v>
      </c>
      <c r="D41" s="230">
        <v>29</v>
      </c>
      <c r="E41" s="246">
        <v>5428.2</v>
      </c>
      <c r="F41" s="231">
        <f>D41*E41</f>
        <v>157417.79999999999</v>
      </c>
      <c r="G41" s="231"/>
      <c r="H41" s="231">
        <v>-2015.96</v>
      </c>
      <c r="I41" s="231">
        <f>F41+G41+H41</f>
        <v>155401.84</v>
      </c>
      <c r="J41" s="232"/>
      <c r="K41" s="232"/>
      <c r="L41" s="232"/>
      <c r="M41" s="232"/>
      <c r="N41" s="232"/>
      <c r="O41" s="232"/>
      <c r="P41" s="232"/>
    </row>
    <row r="42" spans="1:16" s="233" customFormat="1" ht="47.25" customHeight="1" x14ac:dyDescent="0.25">
      <c r="A42" s="244" t="s">
        <v>294</v>
      </c>
      <c r="B42" s="248" t="s">
        <v>787</v>
      </c>
      <c r="C42" s="230" t="s">
        <v>450</v>
      </c>
      <c r="D42" s="230">
        <v>457</v>
      </c>
      <c r="E42" s="246">
        <v>5376.33</v>
      </c>
      <c r="F42" s="231">
        <f>D42*E42</f>
        <v>2456982.81</v>
      </c>
      <c r="G42" s="231"/>
      <c r="H42" s="231">
        <f>-31768.8-48386.97</f>
        <v>-80155.77</v>
      </c>
      <c r="I42" s="231">
        <f>F42+G42+H42</f>
        <v>2376827.04</v>
      </c>
      <c r="J42" s="232"/>
      <c r="K42" s="232"/>
      <c r="L42" s="232"/>
      <c r="M42" s="232"/>
      <c r="N42" s="232"/>
      <c r="O42" s="232"/>
      <c r="P42" s="232"/>
    </row>
    <row r="43" spans="1:16" s="233" customFormat="1" ht="60" customHeight="1" x14ac:dyDescent="0.25">
      <c r="A43" s="244" t="s">
        <v>295</v>
      </c>
      <c r="B43" s="245" t="s">
        <v>788</v>
      </c>
      <c r="C43" s="230" t="s">
        <v>450</v>
      </c>
      <c r="D43" s="230">
        <v>25</v>
      </c>
      <c r="E43" s="246">
        <v>1809.41</v>
      </c>
      <c r="F43" s="231">
        <f>D43*E43</f>
        <v>45235.25</v>
      </c>
      <c r="G43" s="231"/>
      <c r="H43" s="231">
        <f>-1737.9</f>
        <v>-1737.9</v>
      </c>
      <c r="I43" s="231">
        <f>F43+G43+H43</f>
        <v>43497.35</v>
      </c>
      <c r="J43" s="232"/>
      <c r="K43" s="232"/>
      <c r="L43" s="232"/>
      <c r="M43" s="232"/>
      <c r="N43" s="232"/>
      <c r="O43" s="232"/>
      <c r="P43" s="232"/>
    </row>
    <row r="44" spans="1:16" s="233" customFormat="1" x14ac:dyDescent="0.25">
      <c r="A44" s="244" t="s">
        <v>161</v>
      </c>
      <c r="B44" s="520" t="s">
        <v>657</v>
      </c>
      <c r="C44" s="520"/>
      <c r="D44" s="230">
        <v>146</v>
      </c>
      <c r="E44" s="231" t="s">
        <v>19</v>
      </c>
      <c r="F44" s="231">
        <f>F46+F47+F49+F50</f>
        <v>2497014.34</v>
      </c>
      <c r="G44" s="231"/>
      <c r="H44" s="231"/>
      <c r="I44" s="231">
        <f>SUM(I46:I50)</f>
        <v>3369170.7299999995</v>
      </c>
      <c r="J44" s="232"/>
      <c r="K44" s="232"/>
      <c r="L44" s="232"/>
      <c r="M44" s="232"/>
      <c r="N44" s="232"/>
      <c r="O44" s="232"/>
      <c r="P44" s="232"/>
    </row>
    <row r="45" spans="1:16" s="233" customFormat="1" ht="30" customHeight="1" x14ac:dyDescent="0.25">
      <c r="A45" s="244"/>
      <c r="B45" s="551" t="s">
        <v>23</v>
      </c>
      <c r="C45" s="551"/>
      <c r="D45" s="230"/>
      <c r="E45" s="231"/>
      <c r="F45" s="231"/>
      <c r="G45" s="231"/>
      <c r="H45" s="231"/>
      <c r="I45" s="231"/>
      <c r="J45" s="232"/>
      <c r="K45" s="232"/>
      <c r="L45" s="232"/>
      <c r="M45" s="232"/>
      <c r="N45" s="232"/>
      <c r="O45" s="232"/>
      <c r="P45" s="232"/>
    </row>
    <row r="46" spans="1:16" s="233" customFormat="1" ht="47.25" x14ac:dyDescent="0.25">
      <c r="A46" s="244" t="s">
        <v>658</v>
      </c>
      <c r="B46" s="247" t="s">
        <v>789</v>
      </c>
      <c r="C46" s="230" t="s">
        <v>450</v>
      </c>
      <c r="D46" s="230">
        <v>8</v>
      </c>
      <c r="E46" s="249">
        <v>16481.27</v>
      </c>
      <c r="F46" s="231">
        <f>D46*E46</f>
        <v>131850.16</v>
      </c>
      <c r="G46" s="231"/>
      <c r="H46" s="231">
        <v>-556.13</v>
      </c>
      <c r="I46" s="231">
        <f>F46+G46+H46</f>
        <v>131294.03</v>
      </c>
      <c r="J46" s="232"/>
      <c r="K46" s="232"/>
      <c r="L46" s="232"/>
      <c r="M46" s="232"/>
      <c r="N46" s="232"/>
      <c r="O46" s="232"/>
      <c r="P46" s="232"/>
    </row>
    <row r="47" spans="1:16" s="233" customFormat="1" ht="47.25" x14ac:dyDescent="0.25">
      <c r="A47" s="244" t="s">
        <v>659</v>
      </c>
      <c r="B47" s="247" t="s">
        <v>790</v>
      </c>
      <c r="C47" s="230" t="s">
        <v>450</v>
      </c>
      <c r="D47" s="230">
        <v>114</v>
      </c>
      <c r="E47" s="249">
        <v>19027.16</v>
      </c>
      <c r="F47" s="231">
        <f>D47*E47</f>
        <v>2169096.2399999998</v>
      </c>
      <c r="G47" s="231"/>
      <c r="H47" s="231">
        <f>-7924.82</f>
        <v>-7924.82</v>
      </c>
      <c r="I47" s="231">
        <f>F47+G47+H47</f>
        <v>2161171.42</v>
      </c>
      <c r="J47" s="232"/>
      <c r="K47" s="232"/>
      <c r="L47" s="232"/>
      <c r="M47" s="232"/>
      <c r="N47" s="232"/>
      <c r="O47" s="232"/>
      <c r="P47" s="232"/>
    </row>
    <row r="48" spans="1:16" s="233" customFormat="1" ht="59.25" customHeight="1" x14ac:dyDescent="0.25">
      <c r="A48" s="244" t="s">
        <v>660</v>
      </c>
      <c r="B48" s="247" t="s">
        <v>790</v>
      </c>
      <c r="C48" s="230" t="s">
        <v>450</v>
      </c>
      <c r="D48" s="230">
        <v>18</v>
      </c>
      <c r="E48" s="249">
        <v>32677.99</v>
      </c>
      <c r="F48" s="231">
        <f>E48*D48</f>
        <v>588203.82000000007</v>
      </c>
      <c r="G48" s="231"/>
      <c r="H48" s="231">
        <f>-1251.29+294101.91</f>
        <v>292850.62</v>
      </c>
      <c r="I48" s="231">
        <f>F48+G48+H48</f>
        <v>881054.44000000006</v>
      </c>
      <c r="J48" s="232"/>
      <c r="K48" s="232"/>
      <c r="L48" s="232"/>
      <c r="M48" s="232"/>
      <c r="N48" s="232"/>
      <c r="O48" s="232"/>
      <c r="P48" s="232"/>
    </row>
    <row r="49" spans="1:16" s="233" customFormat="1" ht="31.5" x14ac:dyDescent="0.25">
      <c r="A49" s="244" t="s">
        <v>661</v>
      </c>
      <c r="B49" s="247" t="s">
        <v>791</v>
      </c>
      <c r="C49" s="230" t="s">
        <v>450</v>
      </c>
      <c r="D49" s="230">
        <f>3+1</f>
        <v>4</v>
      </c>
      <c r="E49" s="249">
        <v>32677.99</v>
      </c>
      <c r="F49" s="231">
        <f>D49*E49</f>
        <v>130711.96</v>
      </c>
      <c r="G49" s="231"/>
      <c r="H49" s="231">
        <f>-278.06</f>
        <v>-278.06</v>
      </c>
      <c r="I49" s="231">
        <f>F49+G49+H49</f>
        <v>130433.90000000001</v>
      </c>
      <c r="J49" s="232"/>
      <c r="K49" s="232"/>
      <c r="L49" s="232"/>
      <c r="M49" s="232"/>
      <c r="N49" s="232"/>
      <c r="O49" s="232"/>
      <c r="P49" s="232"/>
    </row>
    <row r="50" spans="1:16" s="233" customFormat="1" ht="47.25" x14ac:dyDescent="0.25">
      <c r="A50" s="244" t="s">
        <v>662</v>
      </c>
      <c r="B50" s="247" t="s">
        <v>792</v>
      </c>
      <c r="C50" s="230" t="s">
        <v>450</v>
      </c>
      <c r="D50" s="230">
        <v>2</v>
      </c>
      <c r="E50" s="249">
        <v>32677.99</v>
      </c>
      <c r="F50" s="231">
        <f>D50*E50</f>
        <v>65355.98</v>
      </c>
      <c r="G50" s="231"/>
      <c r="H50" s="231">
        <f>-139.04</f>
        <v>-139.04</v>
      </c>
      <c r="I50" s="231">
        <f>F50+G50+H50</f>
        <v>65216.94</v>
      </c>
      <c r="J50" s="232"/>
      <c r="K50" s="232"/>
      <c r="L50" s="232"/>
      <c r="M50" s="232"/>
      <c r="N50" s="232"/>
      <c r="O50" s="232"/>
      <c r="P50" s="232"/>
    </row>
    <row r="51" spans="1:16" s="233" customFormat="1" x14ac:dyDescent="0.25">
      <c r="A51" s="542" t="s">
        <v>260</v>
      </c>
      <c r="B51" s="543"/>
      <c r="C51" s="544"/>
      <c r="D51" s="250" t="s">
        <v>19</v>
      </c>
      <c r="E51" s="250" t="s">
        <v>19</v>
      </c>
      <c r="F51" s="250" t="s">
        <v>19</v>
      </c>
      <c r="G51" s="250" t="s">
        <v>19</v>
      </c>
      <c r="H51" s="250" t="s">
        <v>19</v>
      </c>
      <c r="I51" s="251">
        <f>I33+I39+I44</f>
        <v>9382109.75</v>
      </c>
      <c r="J51" s="232"/>
      <c r="K51" s="232"/>
      <c r="L51" s="232"/>
      <c r="M51" s="232"/>
      <c r="N51" s="232"/>
      <c r="O51" s="232"/>
      <c r="P51" s="232"/>
    </row>
    <row r="53" spans="1:16" s="222" customFormat="1" x14ac:dyDescent="0.25">
      <c r="A53" s="220" t="s">
        <v>455</v>
      </c>
      <c r="B53" s="220"/>
      <c r="C53" s="220"/>
      <c r="D53" s="220"/>
      <c r="E53" s="220"/>
      <c r="F53" s="220"/>
      <c r="G53" s="220"/>
      <c r="H53" s="220"/>
      <c r="I53" s="221"/>
      <c r="J53" s="221"/>
      <c r="K53" s="221"/>
      <c r="L53" s="221"/>
      <c r="M53" s="221"/>
      <c r="N53" s="221"/>
      <c r="O53" s="221"/>
      <c r="P53" s="221"/>
    </row>
    <row r="54" spans="1:16" x14ac:dyDescent="0.25">
      <c r="A54" s="218"/>
      <c r="B54" s="218"/>
      <c r="C54" s="218"/>
      <c r="D54" s="214"/>
      <c r="E54" s="214"/>
      <c r="F54" s="214"/>
      <c r="G54" s="214"/>
      <c r="H54" s="214"/>
      <c r="I54" s="214"/>
      <c r="J54" s="214"/>
      <c r="K54" s="214"/>
      <c r="L54" s="214"/>
      <c r="M54" s="214"/>
      <c r="N54" s="214"/>
      <c r="O54" s="214"/>
      <c r="P54" s="214"/>
    </row>
    <row r="55" spans="1:16" ht="19.5" customHeight="1" x14ac:dyDescent="0.25">
      <c r="A55" s="523" t="s">
        <v>351</v>
      </c>
      <c r="B55" s="523"/>
      <c r="C55" s="524" t="s">
        <v>440</v>
      </c>
      <c r="D55" s="524"/>
      <c r="E55" s="223"/>
      <c r="F55" s="217"/>
      <c r="G55" s="217"/>
      <c r="H55" s="217"/>
      <c r="I55" s="217"/>
      <c r="J55" s="217"/>
      <c r="K55" s="214"/>
      <c r="L55" s="214"/>
      <c r="M55" s="217"/>
      <c r="N55" s="217"/>
      <c r="O55" s="217"/>
      <c r="P55" s="214"/>
    </row>
    <row r="56" spans="1:16" ht="19.5" customHeight="1" x14ac:dyDescent="0.25">
      <c r="A56" s="219"/>
      <c r="B56" s="219"/>
      <c r="C56" s="217"/>
      <c r="D56" s="217"/>
      <c r="E56" s="217"/>
      <c r="F56" s="217"/>
      <c r="G56" s="217"/>
      <c r="H56" s="217"/>
      <c r="I56" s="217"/>
      <c r="J56" s="217"/>
      <c r="K56" s="214"/>
      <c r="L56" s="214"/>
      <c r="M56" s="217"/>
      <c r="N56" s="217"/>
      <c r="O56" s="217"/>
      <c r="P56" s="214"/>
    </row>
    <row r="57" spans="1:16" ht="19.5" customHeight="1" x14ac:dyDescent="0.25">
      <c r="A57" s="523" t="s">
        <v>349</v>
      </c>
      <c r="B57" s="523"/>
      <c r="C57" s="524" t="s">
        <v>441</v>
      </c>
      <c r="D57" s="524"/>
      <c r="E57" s="217"/>
      <c r="F57" s="525"/>
      <c r="G57" s="525"/>
      <c r="H57" s="214"/>
      <c r="I57" s="214"/>
      <c r="J57" s="214"/>
      <c r="K57" s="214"/>
      <c r="L57" s="214"/>
      <c r="M57" s="214"/>
      <c r="N57" s="214"/>
      <c r="O57" s="214"/>
      <c r="P57" s="214"/>
    </row>
    <row r="58" spans="1:16" x14ac:dyDescent="0.25">
      <c r="A58" s="240"/>
      <c r="B58" s="241"/>
      <c r="C58" s="241"/>
      <c r="D58" s="241"/>
      <c r="E58" s="241"/>
      <c r="F58" s="241"/>
      <c r="G58" s="241"/>
      <c r="H58" s="252"/>
    </row>
    <row r="59" spans="1:16" s="228" customFormat="1" ht="82.5" customHeight="1" x14ac:dyDescent="0.25">
      <c r="A59" s="225" t="s">
        <v>253</v>
      </c>
      <c r="B59" s="527" t="s">
        <v>442</v>
      </c>
      <c r="C59" s="528"/>
      <c r="D59" s="226" t="s">
        <v>445</v>
      </c>
      <c r="E59" s="527" t="s">
        <v>454</v>
      </c>
      <c r="F59" s="528"/>
      <c r="G59" s="226" t="s">
        <v>456</v>
      </c>
      <c r="H59" s="227"/>
      <c r="I59" s="227"/>
      <c r="J59" s="227"/>
      <c r="K59" s="227"/>
      <c r="L59" s="227"/>
      <c r="M59" s="227"/>
      <c r="N59" s="227"/>
    </row>
    <row r="60" spans="1:16" s="233" customFormat="1" ht="36.75" customHeight="1" x14ac:dyDescent="0.25">
      <c r="A60" s="229" t="s">
        <v>448</v>
      </c>
      <c r="B60" s="527" t="s">
        <v>457</v>
      </c>
      <c r="C60" s="528"/>
      <c r="D60" s="243">
        <f>G60</f>
        <v>944065.7</v>
      </c>
      <c r="E60" s="545"/>
      <c r="F60" s="546"/>
      <c r="G60" s="231">
        <f>963332.35-19266.65</f>
        <v>944065.7</v>
      </c>
      <c r="H60" s="232"/>
      <c r="I60" s="232"/>
      <c r="J60" s="232"/>
      <c r="K60" s="232"/>
      <c r="L60" s="232"/>
      <c r="M60" s="232"/>
      <c r="N60" s="232"/>
    </row>
    <row r="61" spans="1:16" s="254" customFormat="1" x14ac:dyDescent="0.25">
      <c r="A61" s="552" t="s">
        <v>260</v>
      </c>
      <c r="B61" s="552"/>
      <c r="C61" s="552"/>
      <c r="D61" s="250" t="s">
        <v>19</v>
      </c>
      <c r="E61" s="553" t="s">
        <v>19</v>
      </c>
      <c r="F61" s="554"/>
      <c r="G61" s="251">
        <f>G60</f>
        <v>944065.7</v>
      </c>
      <c r="H61" s="253"/>
      <c r="I61" s="253"/>
      <c r="J61" s="253"/>
      <c r="K61" s="253"/>
      <c r="L61" s="253"/>
      <c r="M61" s="253"/>
      <c r="N61" s="253"/>
      <c r="O61" s="253"/>
      <c r="P61" s="253"/>
    </row>
    <row r="63" spans="1:16" s="222" customFormat="1" x14ac:dyDescent="0.25">
      <c r="A63" s="220" t="s">
        <v>458</v>
      </c>
      <c r="B63" s="220"/>
      <c r="C63" s="220"/>
      <c r="D63" s="220"/>
      <c r="E63" s="220"/>
      <c r="F63" s="220"/>
      <c r="G63" s="220"/>
      <c r="H63" s="220"/>
      <c r="I63" s="221"/>
      <c r="J63" s="221"/>
      <c r="K63" s="221"/>
      <c r="L63" s="221"/>
      <c r="M63" s="221"/>
      <c r="N63" s="221"/>
      <c r="O63" s="221"/>
      <c r="P63" s="221"/>
    </row>
    <row r="64" spans="1:16" x14ac:dyDescent="0.25">
      <c r="A64" s="218"/>
      <c r="B64" s="218"/>
      <c r="C64" s="218"/>
      <c r="D64" s="214"/>
      <c r="E64" s="214"/>
      <c r="F64" s="214"/>
      <c r="G64" s="214"/>
      <c r="H64" s="214"/>
      <c r="I64" s="214"/>
      <c r="J64" s="214"/>
      <c r="K64" s="214"/>
      <c r="L64" s="214"/>
      <c r="M64" s="214"/>
      <c r="N64" s="214"/>
      <c r="O64" s="214"/>
      <c r="P64" s="214"/>
    </row>
    <row r="65" spans="1:16" ht="19.5" customHeight="1" x14ac:dyDescent="0.25">
      <c r="A65" s="523" t="s">
        <v>351</v>
      </c>
      <c r="B65" s="523"/>
      <c r="C65" s="524" t="s">
        <v>440</v>
      </c>
      <c r="D65" s="524"/>
      <c r="E65" s="223"/>
      <c r="F65" s="217"/>
      <c r="G65" s="217"/>
      <c r="H65" s="217"/>
      <c r="I65" s="217"/>
      <c r="J65" s="217"/>
      <c r="K65" s="214"/>
      <c r="L65" s="214"/>
      <c r="M65" s="217"/>
      <c r="N65" s="217"/>
      <c r="O65" s="217"/>
      <c r="P65" s="214"/>
    </row>
    <row r="66" spans="1:16" ht="19.5" customHeight="1" x14ac:dyDescent="0.25">
      <c r="A66" s="219"/>
      <c r="B66" s="219"/>
      <c r="C66" s="217"/>
      <c r="D66" s="217"/>
      <c r="E66" s="217"/>
      <c r="F66" s="217"/>
      <c r="G66" s="217"/>
      <c r="H66" s="217"/>
      <c r="I66" s="217"/>
      <c r="J66" s="217"/>
      <c r="K66" s="214"/>
      <c r="L66" s="214"/>
      <c r="M66" s="217"/>
      <c r="N66" s="217"/>
      <c r="O66" s="217"/>
      <c r="P66" s="214"/>
    </row>
    <row r="67" spans="1:16" ht="19.5" customHeight="1" x14ac:dyDescent="0.25">
      <c r="A67" s="523" t="s">
        <v>349</v>
      </c>
      <c r="B67" s="523"/>
      <c r="C67" s="524" t="s">
        <v>441</v>
      </c>
      <c r="D67" s="524"/>
      <c r="E67" s="217"/>
      <c r="F67" s="525"/>
      <c r="G67" s="525"/>
      <c r="H67" s="214"/>
      <c r="I67" s="214"/>
      <c r="J67" s="214"/>
      <c r="K67" s="214"/>
      <c r="L67" s="214"/>
      <c r="M67" s="214"/>
      <c r="N67" s="214"/>
      <c r="O67" s="214"/>
      <c r="P67" s="214"/>
    </row>
    <row r="68" spans="1:16" x14ac:dyDescent="0.25">
      <c r="A68" s="255"/>
      <c r="B68" s="252"/>
      <c r="C68" s="252"/>
      <c r="D68" s="252"/>
      <c r="E68" s="252"/>
      <c r="F68" s="252"/>
      <c r="G68" s="252"/>
      <c r="H68" s="252"/>
    </row>
    <row r="69" spans="1:16" s="228" customFormat="1" ht="82.5" customHeight="1" x14ac:dyDescent="0.25">
      <c r="A69" s="225" t="s">
        <v>253</v>
      </c>
      <c r="B69" s="555" t="s">
        <v>442</v>
      </c>
      <c r="C69" s="555"/>
      <c r="D69" s="555" t="s">
        <v>456</v>
      </c>
      <c r="E69" s="555"/>
      <c r="F69" s="256"/>
      <c r="G69" s="256"/>
      <c r="H69" s="227"/>
      <c r="I69" s="227"/>
      <c r="J69" s="227"/>
      <c r="K69" s="227"/>
    </row>
    <row r="70" spans="1:16" s="233" customFormat="1" ht="30" customHeight="1" x14ac:dyDescent="0.25">
      <c r="A70" s="229" t="s">
        <v>448</v>
      </c>
      <c r="B70" s="555" t="s">
        <v>459</v>
      </c>
      <c r="C70" s="555"/>
      <c r="D70" s="556">
        <f>D72</f>
        <v>888157</v>
      </c>
      <c r="E70" s="556"/>
      <c r="F70" s="232"/>
      <c r="G70" s="232"/>
      <c r="H70" s="232"/>
      <c r="I70" s="232"/>
      <c r="J70" s="232"/>
      <c r="K70" s="232"/>
    </row>
    <row r="71" spans="1:16" s="233" customFormat="1" ht="17.25" customHeight="1" x14ac:dyDescent="0.25">
      <c r="A71" s="229"/>
      <c r="B71" s="555" t="s">
        <v>23</v>
      </c>
      <c r="C71" s="555"/>
      <c r="D71" s="556"/>
      <c r="E71" s="556"/>
      <c r="F71" s="232"/>
      <c r="G71" s="232"/>
      <c r="H71" s="232"/>
      <c r="I71" s="232"/>
      <c r="J71" s="232"/>
      <c r="K71" s="232"/>
    </row>
    <row r="72" spans="1:16" s="233" customFormat="1" ht="30" customHeight="1" x14ac:dyDescent="0.25">
      <c r="A72" s="229" t="s">
        <v>290</v>
      </c>
      <c r="B72" s="555" t="s">
        <v>460</v>
      </c>
      <c r="C72" s="555"/>
      <c r="D72" s="557">
        <f>947485-59328</f>
        <v>888157</v>
      </c>
      <c r="E72" s="557"/>
      <c r="F72" s="232"/>
      <c r="G72" s="232"/>
      <c r="H72" s="232"/>
      <c r="I72" s="232"/>
      <c r="J72" s="232"/>
      <c r="K72" s="232"/>
    </row>
    <row r="73" spans="1:16" s="233" customFormat="1" ht="30" customHeight="1" x14ac:dyDescent="0.25">
      <c r="A73" s="229" t="s">
        <v>291</v>
      </c>
      <c r="B73" s="555" t="s">
        <v>461</v>
      </c>
      <c r="C73" s="555"/>
      <c r="D73" s="556"/>
      <c r="E73" s="556"/>
      <c r="F73" s="232"/>
      <c r="G73" s="232"/>
      <c r="H73" s="232"/>
      <c r="I73" s="232"/>
      <c r="J73" s="232"/>
      <c r="K73" s="232"/>
    </row>
    <row r="74" spans="1:16" s="254" customFormat="1" x14ac:dyDescent="0.25">
      <c r="A74" s="552" t="s">
        <v>260</v>
      </c>
      <c r="B74" s="552"/>
      <c r="C74" s="552"/>
      <c r="D74" s="558">
        <f>D72+D73</f>
        <v>888157</v>
      </c>
      <c r="E74" s="558"/>
      <c r="F74" s="253"/>
      <c r="G74" s="253"/>
      <c r="H74" s="253"/>
      <c r="I74" s="253"/>
      <c r="J74" s="253"/>
      <c r="K74" s="253"/>
      <c r="L74" s="253"/>
      <c r="M74" s="253"/>
    </row>
    <row r="77" spans="1:16" s="84" customFormat="1" x14ac:dyDescent="0.25">
      <c r="A77" s="82" t="s">
        <v>462</v>
      </c>
      <c r="B77" s="82"/>
      <c r="C77" s="82"/>
      <c r="D77" s="83"/>
      <c r="E77" s="83"/>
      <c r="F77" s="83"/>
      <c r="G77" s="83"/>
    </row>
    <row r="78" spans="1:16" s="84" customFormat="1" x14ac:dyDescent="0.25">
      <c r="A78" s="85"/>
      <c r="B78" s="86"/>
      <c r="C78" s="86"/>
      <c r="D78" s="83"/>
    </row>
    <row r="79" spans="1:16" s="113" customFormat="1" ht="36.75" customHeight="1" x14ac:dyDescent="0.25">
      <c r="A79" s="197" t="s">
        <v>253</v>
      </c>
      <c r="B79" s="559" t="s">
        <v>335</v>
      </c>
      <c r="C79" s="559"/>
      <c r="D79" s="197" t="s">
        <v>581</v>
      </c>
      <c r="E79" s="112"/>
    </row>
    <row r="80" spans="1:16" s="84" customFormat="1" ht="24.75" customHeight="1" x14ac:dyDescent="0.25">
      <c r="A80" s="109">
        <v>1</v>
      </c>
      <c r="B80" s="560" t="s">
        <v>465</v>
      </c>
      <c r="C80" s="560"/>
      <c r="D80" s="91">
        <f>I24</f>
        <v>38395008</v>
      </c>
      <c r="E80" s="89"/>
    </row>
    <row r="81" spans="1:12" s="84" customFormat="1" ht="24.75" customHeight="1" x14ac:dyDescent="0.25">
      <c r="A81" s="109">
        <v>2</v>
      </c>
      <c r="B81" s="560" t="s">
        <v>466</v>
      </c>
      <c r="C81" s="560"/>
      <c r="D81" s="91">
        <f>D74+G61+I51</f>
        <v>11214332.449999999</v>
      </c>
      <c r="E81" s="195"/>
    </row>
    <row r="82" spans="1:12" s="84" customFormat="1" ht="25.5" customHeight="1" x14ac:dyDescent="0.25">
      <c r="A82" s="561" t="s">
        <v>360</v>
      </c>
      <c r="B82" s="562"/>
      <c r="C82" s="563"/>
      <c r="D82" s="93">
        <f>SUM(D80:D81)</f>
        <v>49609340.450000003</v>
      </c>
      <c r="E82" s="195"/>
      <c r="F82" s="257"/>
      <c r="L82" s="257">
        <f>'1 раздел'!R4</f>
        <v>49609340.450000003</v>
      </c>
    </row>
    <row r="83" spans="1:12" s="94" customFormat="1" x14ac:dyDescent="0.25">
      <c r="B83" s="95"/>
      <c r="L83" s="258">
        <f>L82-D82</f>
        <v>0</v>
      </c>
    </row>
    <row r="84" spans="1:12" s="94" customFormat="1" x14ac:dyDescent="0.25">
      <c r="B84" s="95"/>
    </row>
    <row r="85" spans="1:12" s="84" customFormat="1" ht="27.75" customHeight="1" x14ac:dyDescent="0.25">
      <c r="A85" s="96" t="s">
        <v>467</v>
      </c>
      <c r="B85" s="96"/>
      <c r="C85" s="97"/>
      <c r="D85" s="443"/>
      <c r="E85" s="443"/>
      <c r="F85" s="85" t="s">
        <v>634</v>
      </c>
      <c r="G85" s="85"/>
    </row>
    <row r="86" spans="1:12" s="84" customFormat="1" ht="27.75" customHeight="1" x14ac:dyDescent="0.25">
      <c r="A86" s="98"/>
      <c r="B86" s="99"/>
      <c r="C86" s="444" t="s">
        <v>468</v>
      </c>
      <c r="D86" s="444"/>
      <c r="E86" s="444"/>
      <c r="F86" s="445"/>
      <c r="G86" s="445"/>
    </row>
    <row r="87" spans="1:12" s="84" customFormat="1" ht="27.75" customHeight="1" x14ac:dyDescent="0.25">
      <c r="A87" s="96" t="s">
        <v>469</v>
      </c>
      <c r="B87" s="96"/>
      <c r="C87" s="97"/>
      <c r="D87" s="443"/>
      <c r="E87" s="443"/>
      <c r="F87" s="85" t="s">
        <v>645</v>
      </c>
      <c r="G87" s="85"/>
    </row>
    <row r="88" spans="1:12" s="84" customFormat="1" ht="27.75" customHeight="1" x14ac:dyDescent="0.25">
      <c r="A88" s="98"/>
      <c r="B88" s="99"/>
      <c r="C88" s="444" t="s">
        <v>468</v>
      </c>
      <c r="D88" s="444"/>
      <c r="E88" s="444"/>
      <c r="F88" s="445"/>
      <c r="G88" s="445"/>
    </row>
  </sheetData>
  <mergeCells count="77">
    <mergeCell ref="D87:E87"/>
    <mergeCell ref="C88:E88"/>
    <mergeCell ref="F88:G88"/>
    <mergeCell ref="B79:C79"/>
    <mergeCell ref="B80:C80"/>
    <mergeCell ref="B81:C81"/>
    <mergeCell ref="A82:C82"/>
    <mergeCell ref="D85:E85"/>
    <mergeCell ref="C86:E86"/>
    <mergeCell ref="B73:C73"/>
    <mergeCell ref="D73:E73"/>
    <mergeCell ref="A74:C74"/>
    <mergeCell ref="D74:E74"/>
    <mergeCell ref="F86:G86"/>
    <mergeCell ref="B70:C70"/>
    <mergeCell ref="D70:E70"/>
    <mergeCell ref="B71:C71"/>
    <mergeCell ref="D71:E71"/>
    <mergeCell ref="B72:C72"/>
    <mergeCell ref="D72:E72"/>
    <mergeCell ref="A67:B67"/>
    <mergeCell ref="C67:D67"/>
    <mergeCell ref="F67:G67"/>
    <mergeCell ref="B69:C69"/>
    <mergeCell ref="D69:E69"/>
    <mergeCell ref="E59:F59"/>
    <mergeCell ref="A61:C61"/>
    <mergeCell ref="E61:F61"/>
    <mergeCell ref="A65:B65"/>
    <mergeCell ref="C65:D65"/>
    <mergeCell ref="F30:G30"/>
    <mergeCell ref="B32:C32"/>
    <mergeCell ref="B33:C33"/>
    <mergeCell ref="B60:C60"/>
    <mergeCell ref="E60:F60"/>
    <mergeCell ref="B39:C39"/>
    <mergeCell ref="B40:C40"/>
    <mergeCell ref="B44:C44"/>
    <mergeCell ref="B45:C45"/>
    <mergeCell ref="A51:C51"/>
    <mergeCell ref="A55:B55"/>
    <mergeCell ref="C55:D55"/>
    <mergeCell ref="A57:B57"/>
    <mergeCell ref="C57:D57"/>
    <mergeCell ref="F57:G57"/>
    <mergeCell ref="B59:C59"/>
    <mergeCell ref="B34:C34"/>
    <mergeCell ref="A22:A23"/>
    <mergeCell ref="B22:B23"/>
    <mergeCell ref="D22:D23"/>
    <mergeCell ref="A24:C24"/>
    <mergeCell ref="A28:B28"/>
    <mergeCell ref="C28:D28"/>
    <mergeCell ref="A30:B30"/>
    <mergeCell ref="C30:D30"/>
    <mergeCell ref="A20:A21"/>
    <mergeCell ref="B20:B21"/>
    <mergeCell ref="D20:D21"/>
    <mergeCell ref="A16:A17"/>
    <mergeCell ref="B16:B17"/>
    <mergeCell ref="D16:D17"/>
    <mergeCell ref="A18:A19"/>
    <mergeCell ref="B18:B19"/>
    <mergeCell ref="D18:D19"/>
    <mergeCell ref="B14:C14"/>
    <mergeCell ref="I1:K1"/>
    <mergeCell ref="A2:K2"/>
    <mergeCell ref="A3:K3"/>
    <mergeCell ref="A4:S4"/>
    <mergeCell ref="A5:B5"/>
    <mergeCell ref="A9:B9"/>
    <mergeCell ref="C9:D9"/>
    <mergeCell ref="A11:B11"/>
    <mergeCell ref="C11:D11"/>
    <mergeCell ref="F11:G11"/>
    <mergeCell ref="B12:C12"/>
    <mergeCell ref="B13:C13"/>
  </mergeCells>
  <pageMargins left="0.7" right="0.7" top="0.75" bottom="0.75" header="0.3" footer="0.3"/>
  <pageSetup paperSize="9" scale="61" fitToHeight="0" orientation="landscape" horizontalDpi="300" verticalDpi="300" r:id="rId1"/>
  <rowBreaks count="3" manualBreakCount="3">
    <brk id="24" max="10" man="1"/>
    <brk id="42" max="10" man="1"/>
    <brk id="6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view="pageBreakPreview" zoomScale="80" zoomScaleNormal="80" zoomScaleSheetLayoutView="80" workbookViewId="0">
      <selection activeCell="B37" sqref="B37:C37"/>
    </sheetView>
  </sheetViews>
  <sheetFormatPr defaultRowHeight="15" x14ac:dyDescent="0.25"/>
  <cols>
    <col min="1" max="1" width="7" style="214" customWidth="1"/>
    <col min="2" max="2" width="42.28515625" style="214" customWidth="1"/>
    <col min="3" max="3" width="33" style="214" customWidth="1"/>
    <col min="4" max="4" width="28.85546875" style="214" customWidth="1"/>
    <col min="5" max="5" width="19.85546875" style="214" customWidth="1"/>
    <col min="6" max="11" width="9.140625" style="214"/>
    <col min="12" max="12" width="15.5703125" style="214" customWidth="1"/>
    <col min="13" max="16384" width="9.140625" style="214"/>
  </cols>
  <sheetData>
    <row r="1" spans="1:20" s="259" customFormat="1" ht="15.75" x14ac:dyDescent="0.25"/>
    <row r="2" spans="1:20" ht="15.75" customHeight="1" x14ac:dyDescent="0.25">
      <c r="A2" s="521" t="s">
        <v>346</v>
      </c>
      <c r="B2" s="521"/>
      <c r="C2" s="521"/>
      <c r="D2" s="521"/>
      <c r="E2" s="521"/>
      <c r="F2" s="521"/>
      <c r="G2" s="521"/>
      <c r="H2" s="521"/>
      <c r="I2" s="521"/>
      <c r="J2" s="521"/>
      <c r="K2" s="521"/>
      <c r="L2" s="215"/>
      <c r="M2" s="215"/>
      <c r="N2" s="215"/>
      <c r="O2" s="215"/>
      <c r="P2" s="215"/>
      <c r="Q2" s="215"/>
      <c r="R2" s="215"/>
      <c r="S2" s="215"/>
      <c r="T2" s="215"/>
    </row>
    <row r="3" spans="1:20" ht="15.75" customHeight="1" x14ac:dyDescent="0.25">
      <c r="A3" s="521" t="s">
        <v>663</v>
      </c>
      <c r="B3" s="521"/>
      <c r="C3" s="521"/>
      <c r="D3" s="521"/>
      <c r="E3" s="521"/>
      <c r="F3" s="521"/>
      <c r="G3" s="521"/>
      <c r="H3" s="521"/>
      <c r="I3" s="521"/>
      <c r="J3" s="521"/>
      <c r="K3" s="521"/>
      <c r="L3" s="215"/>
      <c r="M3" s="215"/>
      <c r="N3" s="215"/>
      <c r="O3" s="215"/>
      <c r="P3" s="215"/>
      <c r="Q3" s="215"/>
      <c r="R3" s="215"/>
      <c r="S3" s="215"/>
      <c r="T3" s="215"/>
    </row>
    <row r="4" spans="1:20" x14ac:dyDescent="0.25">
      <c r="A4" s="522"/>
      <c r="B4" s="522"/>
      <c r="C4" s="522"/>
      <c r="D4" s="522"/>
      <c r="E4" s="522"/>
      <c r="F4" s="522"/>
      <c r="G4" s="522"/>
      <c r="H4" s="522"/>
      <c r="I4" s="522"/>
      <c r="J4" s="522"/>
      <c r="K4" s="522"/>
      <c r="L4" s="522"/>
      <c r="M4" s="522"/>
      <c r="N4" s="522"/>
      <c r="O4" s="522"/>
      <c r="P4" s="522"/>
      <c r="Q4" s="522"/>
      <c r="R4" s="522"/>
      <c r="S4" s="522"/>
      <c r="T4" s="522"/>
    </row>
    <row r="5" spans="1:20" ht="27" customHeight="1" x14ac:dyDescent="0.25">
      <c r="A5" s="566" t="s">
        <v>439</v>
      </c>
      <c r="B5" s="566"/>
      <c r="C5" s="260"/>
      <c r="D5" s="216"/>
      <c r="E5" s="216"/>
      <c r="F5" s="216"/>
      <c r="G5" s="216"/>
      <c r="H5" s="216"/>
      <c r="I5" s="217"/>
      <c r="J5" s="217"/>
      <c r="K5" s="218"/>
      <c r="L5" s="218"/>
      <c r="M5" s="218"/>
      <c r="N5" s="218"/>
      <c r="O5" s="218"/>
      <c r="P5" s="218"/>
      <c r="Q5" s="218"/>
      <c r="R5" s="218"/>
      <c r="S5" s="218"/>
      <c r="T5" s="218"/>
    </row>
    <row r="6" spans="1:20" ht="27" customHeight="1" x14ac:dyDescent="0.25">
      <c r="A6" s="219"/>
      <c r="B6" s="219"/>
      <c r="C6" s="219"/>
      <c r="D6" s="217"/>
      <c r="E6" s="217"/>
      <c r="F6" s="217"/>
      <c r="G6" s="217"/>
      <c r="H6" s="217"/>
      <c r="I6" s="217"/>
      <c r="J6" s="217"/>
      <c r="K6" s="218"/>
      <c r="L6" s="218"/>
      <c r="M6" s="218"/>
      <c r="N6" s="218"/>
      <c r="O6" s="218"/>
      <c r="P6" s="218"/>
      <c r="Q6" s="218"/>
      <c r="R6" s="218"/>
      <c r="S6" s="218"/>
      <c r="T6" s="218"/>
    </row>
    <row r="7" spans="1:20" s="259" customFormat="1" ht="41.25" customHeight="1" x14ac:dyDescent="0.25">
      <c r="A7" s="567" t="s">
        <v>470</v>
      </c>
      <c r="B7" s="567"/>
      <c r="C7" s="567"/>
      <c r="D7" s="567"/>
      <c r="E7" s="567"/>
      <c r="F7" s="567"/>
      <c r="G7" s="567"/>
      <c r="H7" s="567"/>
      <c r="I7" s="567"/>
    </row>
    <row r="8" spans="1:20" ht="17.25" customHeight="1" x14ac:dyDescent="0.25">
      <c r="A8" s="218"/>
      <c r="B8" s="218"/>
      <c r="C8" s="218"/>
      <c r="D8" s="218"/>
    </row>
    <row r="9" spans="1:20" ht="17.25" customHeight="1" x14ac:dyDescent="0.25">
      <c r="A9" s="523" t="s">
        <v>351</v>
      </c>
      <c r="B9" s="523"/>
      <c r="C9" s="261" t="s">
        <v>471</v>
      </c>
      <c r="E9" s="223"/>
      <c r="F9" s="223"/>
      <c r="G9" s="217"/>
      <c r="H9" s="217"/>
      <c r="I9" s="217"/>
      <c r="J9" s="217"/>
      <c r="K9" s="217"/>
      <c r="N9" s="217"/>
      <c r="O9" s="217"/>
      <c r="P9" s="217"/>
    </row>
    <row r="10" spans="1:20" ht="17.25" customHeight="1" x14ac:dyDescent="0.25">
      <c r="A10" s="219"/>
      <c r="B10" s="219"/>
      <c r="C10" s="217"/>
      <c r="E10" s="217"/>
      <c r="F10" s="217"/>
      <c r="G10" s="217"/>
      <c r="H10" s="217"/>
      <c r="I10" s="217"/>
      <c r="J10" s="217"/>
      <c r="K10" s="217"/>
      <c r="N10" s="217"/>
      <c r="O10" s="217"/>
      <c r="P10" s="217"/>
    </row>
    <row r="11" spans="1:20" ht="17.25" customHeight="1" x14ac:dyDescent="0.25">
      <c r="A11" s="523" t="s">
        <v>349</v>
      </c>
      <c r="B11" s="523"/>
      <c r="C11" s="261" t="s">
        <v>472</v>
      </c>
      <c r="E11" s="262"/>
      <c r="F11" s="217"/>
      <c r="G11" s="525"/>
      <c r="H11" s="525"/>
    </row>
    <row r="12" spans="1:20" ht="17.25" customHeight="1" x14ac:dyDescent="0.25">
      <c r="A12" s="219"/>
      <c r="B12" s="219"/>
      <c r="C12" s="216"/>
      <c r="E12" s="262"/>
      <c r="F12" s="217"/>
      <c r="G12" s="217"/>
      <c r="H12" s="217"/>
    </row>
    <row r="13" spans="1:20" s="263" customFormat="1" ht="52.5" customHeight="1" x14ac:dyDescent="0.25">
      <c r="A13" s="225" t="s">
        <v>253</v>
      </c>
      <c r="B13" s="527" t="s">
        <v>473</v>
      </c>
      <c r="C13" s="528"/>
      <c r="D13" s="226" t="s">
        <v>447</v>
      </c>
      <c r="E13" s="227"/>
      <c r="F13" s="227"/>
      <c r="G13" s="227"/>
      <c r="H13" s="227"/>
      <c r="I13" s="227"/>
      <c r="J13" s="227"/>
      <c r="K13" s="227"/>
    </row>
    <row r="14" spans="1:20" s="264" customFormat="1" ht="19.5" customHeight="1" x14ac:dyDescent="0.25">
      <c r="A14" s="229"/>
      <c r="B14" s="527"/>
      <c r="C14" s="528"/>
      <c r="D14" s="243"/>
      <c r="E14" s="232"/>
      <c r="F14" s="232"/>
      <c r="G14" s="232"/>
      <c r="H14" s="232"/>
      <c r="I14" s="232"/>
      <c r="J14" s="232"/>
      <c r="K14" s="232"/>
    </row>
    <row r="15" spans="1:20" s="264" customFormat="1" ht="19.5" customHeight="1" x14ac:dyDescent="0.25">
      <c r="A15" s="229"/>
      <c r="B15" s="564"/>
      <c r="C15" s="565"/>
      <c r="D15" s="243"/>
      <c r="E15" s="232"/>
      <c r="F15" s="232"/>
      <c r="G15" s="232"/>
      <c r="H15" s="232"/>
      <c r="I15" s="232"/>
      <c r="J15" s="232"/>
      <c r="K15" s="232"/>
    </row>
    <row r="16" spans="1:20" s="264" customFormat="1" ht="19.5" customHeight="1" x14ac:dyDescent="0.25">
      <c r="A16" s="229"/>
      <c r="B16" s="564"/>
      <c r="C16" s="565"/>
      <c r="D16" s="243"/>
      <c r="E16" s="232"/>
      <c r="F16" s="232"/>
      <c r="G16" s="232"/>
      <c r="H16" s="232"/>
      <c r="I16" s="232"/>
      <c r="J16" s="232"/>
      <c r="K16" s="232"/>
    </row>
    <row r="17" spans="1:16" s="264" customFormat="1" ht="15.75" x14ac:dyDescent="0.25">
      <c r="A17" s="542" t="s">
        <v>260</v>
      </c>
      <c r="B17" s="543"/>
      <c r="C17" s="544"/>
      <c r="D17" s="243">
        <f>SUM(D14:D16)</f>
        <v>0</v>
      </c>
      <c r="E17" s="232"/>
      <c r="F17" s="232"/>
      <c r="G17" s="232"/>
      <c r="H17" s="232"/>
      <c r="I17" s="232"/>
      <c r="J17" s="232"/>
      <c r="K17" s="232"/>
    </row>
    <row r="18" spans="1:16" s="259" customFormat="1" ht="15.75" x14ac:dyDescent="0.25"/>
    <row r="19" spans="1:16" s="259" customFormat="1" ht="41.25" customHeight="1" x14ac:dyDescent="0.25">
      <c r="A19" s="567" t="s">
        <v>474</v>
      </c>
      <c r="B19" s="567"/>
      <c r="C19" s="567"/>
      <c r="D19" s="567"/>
      <c r="E19" s="567"/>
      <c r="F19" s="567"/>
      <c r="G19" s="567"/>
      <c r="H19" s="567"/>
      <c r="I19" s="567"/>
    </row>
    <row r="20" spans="1:16" ht="17.25" customHeight="1" x14ac:dyDescent="0.25">
      <c r="A20" s="218"/>
      <c r="B20" s="218"/>
      <c r="C20" s="218"/>
      <c r="D20" s="218"/>
    </row>
    <row r="21" spans="1:16" ht="17.25" customHeight="1" x14ac:dyDescent="0.25">
      <c r="A21" s="523" t="s">
        <v>351</v>
      </c>
      <c r="B21" s="523"/>
      <c r="C21" s="261" t="s">
        <v>471</v>
      </c>
      <c r="E21" s="223"/>
      <c r="F21" s="223"/>
      <c r="G21" s="217"/>
      <c r="H21" s="217"/>
      <c r="I21" s="217"/>
      <c r="J21" s="217"/>
      <c r="K21" s="217"/>
      <c r="N21" s="217"/>
      <c r="O21" s="217"/>
      <c r="P21" s="217"/>
    </row>
    <row r="22" spans="1:16" ht="17.25" customHeight="1" x14ac:dyDescent="0.25">
      <c r="A22" s="219"/>
      <c r="B22" s="219"/>
      <c r="C22" s="217"/>
      <c r="E22" s="217"/>
      <c r="F22" s="217"/>
      <c r="G22" s="217"/>
      <c r="H22" s="217"/>
      <c r="I22" s="217"/>
      <c r="J22" s="217"/>
      <c r="K22" s="217"/>
      <c r="N22" s="217"/>
      <c r="O22" s="217"/>
      <c r="P22" s="217"/>
    </row>
    <row r="23" spans="1:16" ht="17.25" customHeight="1" x14ac:dyDescent="0.25">
      <c r="A23" s="523" t="s">
        <v>349</v>
      </c>
      <c r="B23" s="523"/>
      <c r="C23" s="261" t="s">
        <v>472</v>
      </c>
      <c r="E23" s="262"/>
      <c r="F23" s="217"/>
      <c r="G23" s="525"/>
      <c r="H23" s="525"/>
    </row>
    <row r="24" spans="1:16" s="259" customFormat="1" ht="17.25" customHeight="1" x14ac:dyDescent="0.25"/>
    <row r="25" spans="1:16" s="263" customFormat="1" ht="52.5" customHeight="1" x14ac:dyDescent="0.25">
      <c r="A25" s="225" t="s">
        <v>253</v>
      </c>
      <c r="B25" s="527" t="s">
        <v>473</v>
      </c>
      <c r="C25" s="528"/>
      <c r="D25" s="226" t="s">
        <v>447</v>
      </c>
      <c r="E25" s="227"/>
      <c r="F25" s="227"/>
      <c r="G25" s="227"/>
      <c r="H25" s="227"/>
      <c r="I25" s="227"/>
      <c r="J25" s="227"/>
      <c r="K25" s="227"/>
    </row>
    <row r="26" spans="1:16" s="264" customFormat="1" ht="19.5" customHeight="1" x14ac:dyDescent="0.25">
      <c r="A26" s="229"/>
      <c r="B26" s="564"/>
      <c r="C26" s="565"/>
      <c r="D26" s="243"/>
      <c r="E26" s="232"/>
      <c r="F26" s="232"/>
      <c r="G26" s="232"/>
      <c r="H26" s="232"/>
      <c r="I26" s="232"/>
      <c r="J26" s="232"/>
      <c r="K26" s="232"/>
    </row>
    <row r="27" spans="1:16" s="264" customFormat="1" ht="19.5" customHeight="1" x14ac:dyDescent="0.25">
      <c r="A27" s="229"/>
      <c r="B27" s="564"/>
      <c r="C27" s="565"/>
      <c r="D27" s="243"/>
      <c r="E27" s="232"/>
      <c r="F27" s="232"/>
      <c r="G27" s="232"/>
      <c r="H27" s="232"/>
      <c r="I27" s="232"/>
      <c r="J27" s="232"/>
      <c r="K27" s="232"/>
    </row>
    <row r="28" spans="1:16" s="264" customFormat="1" ht="15.75" x14ac:dyDescent="0.25">
      <c r="A28" s="542" t="s">
        <v>260</v>
      </c>
      <c r="B28" s="543"/>
      <c r="C28" s="544"/>
      <c r="D28" s="251">
        <f>SUM(D26:D27)</f>
        <v>0</v>
      </c>
      <c r="E28" s="232"/>
      <c r="F28" s="232"/>
      <c r="G28" s="232"/>
      <c r="H28" s="232"/>
      <c r="I28" s="232"/>
      <c r="J28" s="232"/>
      <c r="K28" s="232"/>
    </row>
    <row r="29" spans="1:16" s="259" customFormat="1" ht="15.75" x14ac:dyDescent="0.25"/>
    <row r="30" spans="1:16" s="259" customFormat="1" ht="41.25" customHeight="1" x14ac:dyDescent="0.25">
      <c r="A30" s="567" t="s">
        <v>475</v>
      </c>
      <c r="B30" s="567"/>
      <c r="C30" s="567"/>
      <c r="D30" s="567"/>
      <c r="E30" s="567"/>
      <c r="F30" s="567"/>
      <c r="G30" s="567"/>
      <c r="H30" s="567"/>
      <c r="I30" s="567"/>
    </row>
    <row r="31" spans="1:16" ht="17.25" customHeight="1" x14ac:dyDescent="0.25">
      <c r="A31" s="218"/>
      <c r="B31" s="218"/>
      <c r="C31" s="218"/>
      <c r="D31" s="218"/>
    </row>
    <row r="32" spans="1:16" ht="17.25" customHeight="1" x14ac:dyDescent="0.25">
      <c r="A32" s="523" t="s">
        <v>351</v>
      </c>
      <c r="B32" s="523"/>
      <c r="C32" s="261" t="s">
        <v>471</v>
      </c>
      <c r="E32" s="223"/>
      <c r="F32" s="223"/>
      <c r="G32" s="217"/>
      <c r="H32" s="217"/>
      <c r="I32" s="217"/>
      <c r="J32" s="217"/>
      <c r="K32" s="217"/>
      <c r="N32" s="217"/>
      <c r="O32" s="217"/>
      <c r="P32" s="217"/>
    </row>
    <row r="33" spans="1:16" ht="17.25" customHeight="1" x14ac:dyDescent="0.25">
      <c r="A33" s="219"/>
      <c r="B33" s="219"/>
      <c r="C33" s="217"/>
      <c r="E33" s="217"/>
      <c r="F33" s="217"/>
      <c r="G33" s="217"/>
      <c r="H33" s="217"/>
      <c r="I33" s="217"/>
      <c r="J33" s="217"/>
      <c r="K33" s="217"/>
      <c r="N33" s="217"/>
      <c r="O33" s="217"/>
      <c r="P33" s="217"/>
    </row>
    <row r="34" spans="1:16" ht="17.25" customHeight="1" x14ac:dyDescent="0.25">
      <c r="A34" s="523" t="s">
        <v>349</v>
      </c>
      <c r="B34" s="523"/>
      <c r="C34" s="261" t="s">
        <v>472</v>
      </c>
      <c r="E34" s="262"/>
      <c r="F34" s="217"/>
      <c r="G34" s="525"/>
      <c r="H34" s="525"/>
    </row>
    <row r="35" spans="1:16" s="259" customFormat="1" ht="17.25" customHeight="1" x14ac:dyDescent="0.25"/>
    <row r="36" spans="1:16" s="263" customFormat="1" ht="52.5" customHeight="1" x14ac:dyDescent="0.25">
      <c r="A36" s="225" t="s">
        <v>253</v>
      </c>
      <c r="B36" s="527" t="s">
        <v>473</v>
      </c>
      <c r="C36" s="528"/>
      <c r="D36" s="226" t="s">
        <v>447</v>
      </c>
      <c r="E36" s="227"/>
      <c r="F36" s="227"/>
      <c r="G36" s="227"/>
      <c r="H36" s="227"/>
      <c r="I36" s="227"/>
      <c r="J36" s="227"/>
      <c r="K36" s="227"/>
    </row>
    <row r="37" spans="1:16" s="264" customFormat="1" ht="19.5" customHeight="1" x14ac:dyDescent="0.25">
      <c r="A37" s="229" t="s">
        <v>448</v>
      </c>
      <c r="B37" s="568" t="s">
        <v>666</v>
      </c>
      <c r="C37" s="569"/>
      <c r="D37" s="243">
        <v>666921</v>
      </c>
      <c r="E37" s="232"/>
      <c r="F37" s="232"/>
      <c r="G37" s="232"/>
      <c r="H37" s="232"/>
      <c r="I37" s="232"/>
      <c r="J37" s="232"/>
      <c r="K37" s="232"/>
    </row>
    <row r="38" spans="1:16" s="264" customFormat="1" ht="19.5" customHeight="1" x14ac:dyDescent="0.25">
      <c r="A38" s="229" t="s">
        <v>80</v>
      </c>
      <c r="B38" s="570" t="s">
        <v>667</v>
      </c>
      <c r="C38" s="571"/>
      <c r="D38" s="243">
        <v>402091.14</v>
      </c>
      <c r="E38" s="232"/>
      <c r="F38" s="232"/>
      <c r="G38" s="232"/>
      <c r="H38" s="232"/>
      <c r="I38" s="232"/>
      <c r="J38" s="232"/>
      <c r="K38" s="232"/>
    </row>
    <row r="39" spans="1:16" s="264" customFormat="1" ht="35.25" customHeight="1" x14ac:dyDescent="0.25">
      <c r="A39" s="229" t="s">
        <v>161</v>
      </c>
      <c r="B39" s="572" t="s">
        <v>668</v>
      </c>
      <c r="C39" s="573"/>
      <c r="D39" s="243">
        <v>63591</v>
      </c>
      <c r="E39" s="232"/>
      <c r="F39" s="232"/>
      <c r="G39" s="232"/>
      <c r="H39" s="232"/>
      <c r="I39" s="232"/>
      <c r="J39" s="232"/>
      <c r="K39" s="232"/>
    </row>
    <row r="40" spans="1:16" s="264" customFormat="1" ht="35.25" customHeight="1" x14ac:dyDescent="0.25">
      <c r="A40" s="229" t="s">
        <v>125</v>
      </c>
      <c r="B40" s="574" t="s">
        <v>669</v>
      </c>
      <c r="C40" s="574"/>
      <c r="D40" s="243"/>
      <c r="E40" s="232"/>
      <c r="F40" s="232"/>
      <c r="G40" s="232"/>
      <c r="H40" s="232"/>
      <c r="I40" s="232"/>
      <c r="J40" s="232"/>
      <c r="K40" s="232"/>
    </row>
    <row r="41" spans="1:16" s="264" customFormat="1" ht="15.75" x14ac:dyDescent="0.25">
      <c r="A41" s="542" t="s">
        <v>260</v>
      </c>
      <c r="B41" s="543"/>
      <c r="C41" s="544"/>
      <c r="D41" s="243">
        <f>SUM(D37:D40)</f>
        <v>1132603.1400000001</v>
      </c>
      <c r="E41" s="232"/>
      <c r="F41" s="232"/>
      <c r="G41" s="232"/>
      <c r="H41" s="232"/>
      <c r="I41" s="232"/>
      <c r="J41" s="232"/>
      <c r="K41" s="232"/>
    </row>
    <row r="42" spans="1:16" s="259" customFormat="1" ht="15.75" x14ac:dyDescent="0.25"/>
    <row r="43" spans="1:16" s="259" customFormat="1" ht="15.75" x14ac:dyDescent="0.25"/>
    <row r="44" spans="1:16" s="84" customFormat="1" ht="15.75" x14ac:dyDescent="0.25">
      <c r="A44" s="82" t="s">
        <v>476</v>
      </c>
      <c r="B44" s="82"/>
      <c r="C44" s="82"/>
      <c r="D44" s="82"/>
      <c r="E44" s="83"/>
      <c r="F44" s="83"/>
      <c r="G44" s="83"/>
      <c r="H44" s="83"/>
    </row>
    <row r="45" spans="1:16" s="84" customFormat="1" ht="15.75" x14ac:dyDescent="0.25">
      <c r="A45" s="85"/>
      <c r="B45" s="86"/>
      <c r="C45" s="86"/>
      <c r="D45" s="86"/>
      <c r="E45" s="83"/>
    </row>
    <row r="46" spans="1:16" s="111" customFormat="1" ht="35.25" customHeight="1" x14ac:dyDescent="0.25">
      <c r="A46" s="109" t="s">
        <v>253</v>
      </c>
      <c r="B46" s="110" t="s">
        <v>335</v>
      </c>
      <c r="C46" s="197" t="s">
        <v>581</v>
      </c>
      <c r="F46" s="195"/>
    </row>
    <row r="47" spans="1:16" s="84" customFormat="1" ht="24.75" customHeight="1" x14ac:dyDescent="0.25">
      <c r="A47" s="109">
        <v>1</v>
      </c>
      <c r="B47" s="105" t="s">
        <v>465</v>
      </c>
      <c r="C47" s="91">
        <f>D41</f>
        <v>1132603.1400000001</v>
      </c>
      <c r="F47" s="89"/>
    </row>
    <row r="48" spans="1:16" s="84" customFormat="1" ht="24.75" customHeight="1" x14ac:dyDescent="0.25">
      <c r="A48" s="109">
        <v>2</v>
      </c>
      <c r="B48" s="105" t="s">
        <v>466</v>
      </c>
      <c r="C48" s="91">
        <f>D28+D17</f>
        <v>0</v>
      </c>
      <c r="F48" s="195"/>
    </row>
    <row r="49" spans="1:12" s="84" customFormat="1" ht="25.5" customHeight="1" x14ac:dyDescent="0.25">
      <c r="A49" s="575" t="s">
        <v>360</v>
      </c>
      <c r="B49" s="576"/>
      <c r="C49" s="93">
        <f>SUM(C47:C48)</f>
        <v>1132603.1400000001</v>
      </c>
      <c r="F49" s="195"/>
      <c r="L49" s="257">
        <f>'1 раздел'!R5</f>
        <v>1132603.1400000001</v>
      </c>
    </row>
    <row r="50" spans="1:12" s="94" customFormat="1" ht="15.75" x14ac:dyDescent="0.25">
      <c r="B50" s="95"/>
      <c r="C50" s="95"/>
      <c r="L50" s="258">
        <f>L49-C49</f>
        <v>0</v>
      </c>
    </row>
    <row r="51" spans="1:12" s="94" customFormat="1" ht="15.75" x14ac:dyDescent="0.25">
      <c r="B51" s="95"/>
      <c r="C51" s="95"/>
    </row>
    <row r="52" spans="1:12" s="84" customFormat="1" ht="30" customHeight="1" x14ac:dyDescent="0.25">
      <c r="A52" s="96" t="s">
        <v>467</v>
      </c>
      <c r="B52" s="96"/>
      <c r="C52" s="196"/>
      <c r="D52" s="196"/>
      <c r="E52" s="84" t="s">
        <v>634</v>
      </c>
      <c r="G52" s="85"/>
      <c r="H52" s="85"/>
    </row>
    <row r="53" spans="1:12" s="84" customFormat="1" ht="20.25" customHeight="1" x14ac:dyDescent="0.25">
      <c r="A53" s="98"/>
      <c r="B53" s="99"/>
      <c r="C53" s="444" t="s">
        <v>468</v>
      </c>
      <c r="D53" s="444"/>
      <c r="G53" s="445"/>
      <c r="H53" s="445"/>
    </row>
    <row r="54" spans="1:12" s="84" customFormat="1" ht="30" customHeight="1" x14ac:dyDescent="0.25">
      <c r="A54" s="96" t="s">
        <v>469</v>
      </c>
      <c r="B54" s="96"/>
      <c r="C54" s="196"/>
      <c r="D54" s="196"/>
      <c r="E54" s="85" t="s">
        <v>645</v>
      </c>
      <c r="G54" s="85"/>
      <c r="H54" s="85"/>
    </row>
    <row r="55" spans="1:12" s="84" customFormat="1" ht="19.5" customHeight="1" x14ac:dyDescent="0.25">
      <c r="A55" s="98"/>
      <c r="B55" s="99"/>
      <c r="C55" s="444" t="s">
        <v>468</v>
      </c>
      <c r="D55" s="444"/>
      <c r="G55" s="445"/>
      <c r="H55" s="445"/>
    </row>
    <row r="56" spans="1:12" s="259" customFormat="1" ht="15.75" x14ac:dyDescent="0.25"/>
  </sheetData>
  <mergeCells count="36">
    <mergeCell ref="A49:B49"/>
    <mergeCell ref="C53:D53"/>
    <mergeCell ref="G53:H53"/>
    <mergeCell ref="C55:D55"/>
    <mergeCell ref="G55:H55"/>
    <mergeCell ref="A41:C41"/>
    <mergeCell ref="A32:B32"/>
    <mergeCell ref="A34:B34"/>
    <mergeCell ref="G34:H34"/>
    <mergeCell ref="B36:C36"/>
    <mergeCell ref="B37:C37"/>
    <mergeCell ref="B38:C38"/>
    <mergeCell ref="B39:C39"/>
    <mergeCell ref="B40:C40"/>
    <mergeCell ref="A30:I30"/>
    <mergeCell ref="A17:C17"/>
    <mergeCell ref="A19:I19"/>
    <mergeCell ref="A21:B21"/>
    <mergeCell ref="A23:B23"/>
    <mergeCell ref="G23:H23"/>
    <mergeCell ref="B25:C25"/>
    <mergeCell ref="B26:C26"/>
    <mergeCell ref="B27:C27"/>
    <mergeCell ref="A28:C28"/>
    <mergeCell ref="B16:C16"/>
    <mergeCell ref="A2:K2"/>
    <mergeCell ref="A3:K3"/>
    <mergeCell ref="A4:T4"/>
    <mergeCell ref="A5:B5"/>
    <mergeCell ref="A7:I7"/>
    <mergeCell ref="A9:B9"/>
    <mergeCell ref="A11:B11"/>
    <mergeCell ref="G11:H11"/>
    <mergeCell ref="B13:C13"/>
    <mergeCell ref="B14:C14"/>
    <mergeCell ref="B15:C15"/>
  </mergeCells>
  <pageMargins left="0.7" right="0.7" top="0.75" bottom="0.75" header="0.3" footer="0.3"/>
  <pageSetup paperSize="9" scale="70" fitToHeight="0" orientation="landscape" r:id="rId1"/>
  <rowBreaks count="2" manualBreakCount="2">
    <brk id="28" max="10" man="1"/>
    <brk id="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view="pageBreakPreview" topLeftCell="A7" zoomScale="80" zoomScaleNormal="80" zoomScaleSheetLayoutView="80" workbookViewId="0">
      <selection activeCell="F24" sqref="F24"/>
    </sheetView>
  </sheetViews>
  <sheetFormatPr defaultRowHeight="15" x14ac:dyDescent="0.25"/>
  <cols>
    <col min="1" max="1" width="7" style="68" customWidth="1"/>
    <col min="2" max="2" width="42.28515625" style="68" customWidth="1"/>
    <col min="3" max="3" width="33" style="68" customWidth="1"/>
    <col min="4" max="6" width="28.7109375" style="68" customWidth="1"/>
    <col min="7" max="16384" width="9.140625" style="68"/>
  </cols>
  <sheetData>
    <row r="1" spans="1:20" s="100" customFormat="1" ht="15.75" x14ac:dyDescent="0.25"/>
    <row r="2" spans="1:20" ht="15.75" customHeight="1" x14ac:dyDescent="0.25">
      <c r="A2" s="578" t="s">
        <v>346</v>
      </c>
      <c r="B2" s="578"/>
      <c r="C2" s="578"/>
      <c r="D2" s="578"/>
      <c r="E2" s="578"/>
      <c r="F2" s="578"/>
      <c r="G2" s="578"/>
      <c r="H2" s="578"/>
      <c r="I2" s="578"/>
      <c r="J2" s="578"/>
      <c r="K2" s="578"/>
      <c r="L2" s="67"/>
      <c r="M2" s="67"/>
      <c r="N2" s="67"/>
      <c r="O2" s="67"/>
      <c r="P2" s="67"/>
      <c r="Q2" s="67"/>
      <c r="R2" s="67"/>
      <c r="S2" s="67"/>
      <c r="T2" s="67"/>
    </row>
    <row r="3" spans="1:20" ht="15.75" customHeight="1" x14ac:dyDescent="0.25">
      <c r="A3" s="578" t="s">
        <v>438</v>
      </c>
      <c r="B3" s="578"/>
      <c r="C3" s="578"/>
      <c r="D3" s="578"/>
      <c r="E3" s="578"/>
      <c r="F3" s="578"/>
      <c r="G3" s="578"/>
      <c r="H3" s="578"/>
      <c r="I3" s="578"/>
      <c r="J3" s="578"/>
      <c r="K3" s="578"/>
      <c r="L3" s="67"/>
      <c r="M3" s="67"/>
      <c r="N3" s="67"/>
      <c r="O3" s="67"/>
      <c r="P3" s="67"/>
      <c r="Q3" s="67"/>
      <c r="R3" s="67"/>
      <c r="S3" s="67"/>
      <c r="T3" s="67"/>
    </row>
    <row r="4" spans="1:20" x14ac:dyDescent="0.25">
      <c r="A4" s="579"/>
      <c r="B4" s="579"/>
      <c r="C4" s="579"/>
      <c r="D4" s="579"/>
      <c r="E4" s="579"/>
      <c r="F4" s="579"/>
      <c r="G4" s="579"/>
      <c r="H4" s="579"/>
      <c r="I4" s="579"/>
      <c r="J4" s="579"/>
      <c r="K4" s="579"/>
      <c r="L4" s="579"/>
      <c r="M4" s="579"/>
      <c r="N4" s="579"/>
      <c r="O4" s="579"/>
      <c r="P4" s="579"/>
      <c r="Q4" s="579"/>
      <c r="R4" s="579"/>
      <c r="S4" s="579"/>
      <c r="T4" s="579"/>
    </row>
    <row r="5" spans="1:20" ht="27" customHeight="1" x14ac:dyDescent="0.25">
      <c r="A5" s="580" t="s">
        <v>439</v>
      </c>
      <c r="B5" s="580"/>
      <c r="C5" s="107"/>
      <c r="D5" s="69"/>
      <c r="E5" s="69"/>
      <c r="F5" s="70"/>
      <c r="G5" s="70"/>
      <c r="H5" s="70"/>
      <c r="I5" s="70"/>
      <c r="J5" s="70"/>
      <c r="K5" s="71"/>
      <c r="L5" s="71"/>
      <c r="M5" s="71"/>
      <c r="N5" s="71"/>
      <c r="O5" s="71"/>
      <c r="P5" s="71"/>
      <c r="Q5" s="71"/>
      <c r="R5" s="71"/>
      <c r="S5" s="71"/>
      <c r="T5" s="71"/>
    </row>
    <row r="6" spans="1:20" ht="27" customHeight="1" x14ac:dyDescent="0.25">
      <c r="A6" s="72"/>
      <c r="B6" s="72"/>
      <c r="C6" s="72"/>
      <c r="D6" s="70"/>
      <c r="E6" s="70"/>
      <c r="F6" s="70"/>
      <c r="G6" s="70"/>
      <c r="H6" s="70"/>
      <c r="I6" s="70"/>
      <c r="J6" s="70"/>
      <c r="K6" s="71"/>
      <c r="L6" s="71"/>
      <c r="M6" s="71"/>
      <c r="N6" s="71"/>
      <c r="O6" s="71"/>
      <c r="P6" s="71"/>
      <c r="Q6" s="71"/>
      <c r="R6" s="71"/>
      <c r="S6" s="71"/>
      <c r="T6" s="71"/>
    </row>
    <row r="7" spans="1:20" s="100" customFormat="1" ht="36.75" customHeight="1" x14ac:dyDescent="0.25">
      <c r="A7" s="581" t="s">
        <v>477</v>
      </c>
      <c r="B7" s="581"/>
      <c r="C7" s="581"/>
      <c r="D7" s="581"/>
      <c r="E7" s="581"/>
      <c r="F7" s="581"/>
      <c r="G7" s="581"/>
      <c r="H7" s="581"/>
      <c r="I7" s="581"/>
    </row>
    <row r="8" spans="1:20" ht="17.25" customHeight="1" x14ac:dyDescent="0.25">
      <c r="A8" s="71"/>
      <c r="B8" s="71"/>
      <c r="C8" s="71"/>
      <c r="D8" s="71"/>
    </row>
    <row r="9" spans="1:20" ht="17.25" customHeight="1" x14ac:dyDescent="0.25">
      <c r="A9" s="580" t="s">
        <v>351</v>
      </c>
      <c r="B9" s="580"/>
      <c r="C9" s="101" t="s">
        <v>478</v>
      </c>
      <c r="E9" s="73"/>
      <c r="F9" s="73"/>
      <c r="G9" s="70"/>
      <c r="H9" s="70"/>
      <c r="I9" s="70"/>
      <c r="J9" s="70"/>
      <c r="K9" s="70"/>
      <c r="N9" s="70"/>
      <c r="O9" s="70"/>
      <c r="P9" s="70"/>
    </row>
    <row r="10" spans="1:20" ht="17.25" customHeight="1" x14ac:dyDescent="0.25">
      <c r="A10" s="72"/>
      <c r="B10" s="72"/>
      <c r="C10" s="70"/>
      <c r="E10" s="70"/>
      <c r="F10" s="70"/>
      <c r="G10" s="70"/>
      <c r="H10" s="70"/>
      <c r="I10" s="70"/>
      <c r="J10" s="70"/>
      <c r="K10" s="70"/>
      <c r="N10" s="70"/>
      <c r="O10" s="70"/>
      <c r="P10" s="70"/>
    </row>
    <row r="11" spans="1:20" ht="17.25" customHeight="1" x14ac:dyDescent="0.25">
      <c r="A11" s="580" t="s">
        <v>349</v>
      </c>
      <c r="B11" s="580"/>
      <c r="C11" s="101" t="s">
        <v>479</v>
      </c>
      <c r="E11" s="102"/>
      <c r="F11" s="70"/>
      <c r="G11" s="582"/>
      <c r="H11" s="582"/>
    </row>
    <row r="12" spans="1:20" ht="17.25" customHeight="1" x14ac:dyDescent="0.25">
      <c r="A12" s="72"/>
      <c r="B12" s="72"/>
      <c r="C12" s="70"/>
      <c r="E12" s="102"/>
      <c r="F12" s="70"/>
      <c r="G12" s="70"/>
      <c r="H12" s="70"/>
    </row>
    <row r="13" spans="1:20" ht="17.25" customHeight="1" x14ac:dyDescent="0.25">
      <c r="A13" s="583" t="s">
        <v>253</v>
      </c>
      <c r="B13" s="577" t="s">
        <v>473</v>
      </c>
      <c r="C13" s="577"/>
      <c r="D13" s="584" t="s">
        <v>447</v>
      </c>
      <c r="E13" s="585"/>
      <c r="F13" s="586"/>
      <c r="G13" s="70"/>
      <c r="H13" s="70"/>
    </row>
    <row r="14" spans="1:20" s="103" customFormat="1" ht="37.5" customHeight="1" x14ac:dyDescent="0.25">
      <c r="A14" s="583"/>
      <c r="B14" s="577"/>
      <c r="C14" s="577"/>
      <c r="D14" s="74" t="s">
        <v>480</v>
      </c>
      <c r="E14" s="74" t="s">
        <v>465</v>
      </c>
      <c r="F14" s="74" t="s">
        <v>466</v>
      </c>
      <c r="G14" s="75"/>
      <c r="H14" s="75"/>
      <c r="I14" s="75"/>
      <c r="J14" s="75"/>
      <c r="K14" s="75"/>
    </row>
    <row r="15" spans="1:20" s="104" customFormat="1" ht="19.5" customHeight="1" x14ac:dyDescent="0.25">
      <c r="A15" s="76" t="s">
        <v>448</v>
      </c>
      <c r="B15" s="577"/>
      <c r="C15" s="577"/>
      <c r="D15" s="78"/>
      <c r="E15" s="77"/>
      <c r="F15" s="77"/>
      <c r="G15" s="79"/>
      <c r="H15" s="79"/>
      <c r="I15" s="79"/>
      <c r="J15" s="79"/>
      <c r="K15" s="79"/>
    </row>
    <row r="16" spans="1:20" s="104" customFormat="1" ht="19.5" customHeight="1" x14ac:dyDescent="0.25">
      <c r="A16" s="76" t="s">
        <v>80</v>
      </c>
      <c r="B16" s="587"/>
      <c r="C16" s="587"/>
      <c r="D16" s="78"/>
      <c r="E16" s="77"/>
      <c r="F16" s="77"/>
      <c r="G16" s="79"/>
      <c r="H16" s="79"/>
      <c r="I16" s="79"/>
      <c r="J16" s="79"/>
      <c r="K16" s="79"/>
    </row>
    <row r="17" spans="1:11" s="104" customFormat="1" ht="19.5" customHeight="1" x14ac:dyDescent="0.25">
      <c r="A17" s="76" t="s">
        <v>161</v>
      </c>
      <c r="B17" s="587"/>
      <c r="C17" s="587"/>
      <c r="D17" s="78"/>
      <c r="E17" s="77"/>
      <c r="F17" s="77"/>
      <c r="G17" s="79"/>
      <c r="H17" s="79"/>
      <c r="I17" s="79"/>
      <c r="J17" s="79"/>
      <c r="K17" s="79"/>
    </row>
    <row r="18" spans="1:11" s="108" customFormat="1" ht="18.75" customHeight="1" x14ac:dyDescent="0.25">
      <c r="A18" s="588" t="s">
        <v>260</v>
      </c>
      <c r="B18" s="588"/>
      <c r="C18" s="588"/>
      <c r="D18" s="80">
        <f>SUM(D15:D17)</f>
        <v>0</v>
      </c>
      <c r="E18" s="80">
        <f>SUM(E15:E17)</f>
        <v>0</v>
      </c>
      <c r="F18" s="80">
        <f>SUM(F15:F17)</f>
        <v>0</v>
      </c>
      <c r="G18" s="81"/>
      <c r="H18" s="81"/>
      <c r="I18" s="81"/>
      <c r="J18" s="81"/>
      <c r="K18" s="81"/>
    </row>
    <row r="19" spans="1:11" s="100" customFormat="1" ht="15.75" x14ac:dyDescent="0.25"/>
    <row r="20" spans="1:11" s="100" customFormat="1" ht="15.75" x14ac:dyDescent="0.25"/>
    <row r="21" spans="1:11" s="84" customFormat="1" ht="15.75" x14ac:dyDescent="0.25">
      <c r="A21" s="82" t="s">
        <v>476</v>
      </c>
      <c r="B21" s="82"/>
      <c r="C21" s="82"/>
      <c r="D21" s="82"/>
      <c r="E21" s="83"/>
      <c r="F21" s="83"/>
      <c r="G21" s="83"/>
      <c r="H21" s="83"/>
    </row>
    <row r="22" spans="1:11" s="84" customFormat="1" ht="15.75" x14ac:dyDescent="0.25">
      <c r="A22" s="85"/>
      <c r="B22" s="86"/>
      <c r="C22" s="86"/>
      <c r="D22" s="86"/>
      <c r="E22" s="83"/>
    </row>
    <row r="23" spans="1:11" s="111" customFormat="1" ht="37.5" customHeight="1" x14ac:dyDescent="0.25">
      <c r="A23" s="109" t="s">
        <v>253</v>
      </c>
      <c r="B23" s="110" t="s">
        <v>335</v>
      </c>
      <c r="C23" s="188" t="s">
        <v>581</v>
      </c>
      <c r="F23" s="92"/>
    </row>
    <row r="24" spans="1:11" s="84" customFormat="1" ht="25.5" customHeight="1" x14ac:dyDescent="0.25">
      <c r="A24" s="109">
        <v>1</v>
      </c>
      <c r="B24" s="105" t="s">
        <v>480</v>
      </c>
      <c r="C24" s="91">
        <f>D18</f>
        <v>0</v>
      </c>
      <c r="F24" s="89"/>
    </row>
    <row r="25" spans="1:11" s="84" customFormat="1" ht="25.5" customHeight="1" x14ac:dyDescent="0.25">
      <c r="A25" s="109">
        <v>2</v>
      </c>
      <c r="B25" s="105" t="s">
        <v>465</v>
      </c>
      <c r="C25" s="91">
        <f>E18</f>
        <v>0</v>
      </c>
      <c r="F25" s="89"/>
    </row>
    <row r="26" spans="1:11" s="84" customFormat="1" ht="25.5" customHeight="1" x14ac:dyDescent="0.25">
      <c r="A26" s="109">
        <v>3</v>
      </c>
      <c r="B26" s="105" t="s">
        <v>466</v>
      </c>
      <c r="C26" s="91">
        <f>F18</f>
        <v>0</v>
      </c>
      <c r="F26" s="92"/>
    </row>
    <row r="27" spans="1:11" s="84" customFormat="1" ht="25.5" customHeight="1" x14ac:dyDescent="0.25">
      <c r="A27" s="575" t="s">
        <v>360</v>
      </c>
      <c r="B27" s="576"/>
      <c r="C27" s="93">
        <f>SUM(C25:C26)</f>
        <v>0</v>
      </c>
      <c r="F27" s="92"/>
    </row>
    <row r="28" spans="1:11" s="94" customFormat="1" ht="15.75" x14ac:dyDescent="0.25">
      <c r="B28" s="95"/>
      <c r="C28" s="95"/>
    </row>
    <row r="29" spans="1:11" s="94" customFormat="1" ht="15.75" x14ac:dyDescent="0.25">
      <c r="B29" s="95"/>
      <c r="C29" s="95"/>
    </row>
    <row r="30" spans="1:11" s="84" customFormat="1" ht="30" customHeight="1" x14ac:dyDescent="0.25">
      <c r="A30" s="96" t="s">
        <v>467</v>
      </c>
      <c r="B30" s="96"/>
      <c r="C30" s="106"/>
      <c r="D30" s="106"/>
      <c r="E30" s="84" t="s">
        <v>634</v>
      </c>
      <c r="G30" s="85"/>
      <c r="H30" s="85"/>
    </row>
    <row r="31" spans="1:11" s="84" customFormat="1" ht="20.25" customHeight="1" x14ac:dyDescent="0.25">
      <c r="A31" s="98"/>
      <c r="B31" s="99"/>
      <c r="C31" s="444" t="s">
        <v>468</v>
      </c>
      <c r="D31" s="444"/>
      <c r="G31" s="445"/>
      <c r="H31" s="445"/>
    </row>
    <row r="32" spans="1:11" s="84" customFormat="1" ht="30" customHeight="1" x14ac:dyDescent="0.25">
      <c r="A32" s="96" t="s">
        <v>469</v>
      </c>
      <c r="B32" s="96"/>
      <c r="C32" s="106"/>
      <c r="D32" s="106"/>
      <c r="E32" s="84" t="s">
        <v>645</v>
      </c>
      <c r="G32" s="85"/>
      <c r="H32" s="85"/>
    </row>
    <row r="33" spans="1:8" s="84" customFormat="1" ht="19.5" customHeight="1" x14ac:dyDescent="0.25">
      <c r="A33" s="98"/>
      <c r="B33" s="99"/>
      <c r="C33" s="444" t="s">
        <v>468</v>
      </c>
      <c r="D33" s="444"/>
      <c r="G33" s="445"/>
      <c r="H33" s="445"/>
    </row>
    <row r="34" spans="1:8" s="100" customFormat="1" ht="15.75" x14ac:dyDescent="0.25"/>
  </sheetData>
  <mergeCells count="20">
    <mergeCell ref="C33:D33"/>
    <mergeCell ref="G33:H33"/>
    <mergeCell ref="B16:C16"/>
    <mergeCell ref="B17:C17"/>
    <mergeCell ref="A18:C18"/>
    <mergeCell ref="A27:B27"/>
    <mergeCell ref="C31:D31"/>
    <mergeCell ref="G31:H31"/>
    <mergeCell ref="B15:C15"/>
    <mergeCell ref="A2:K2"/>
    <mergeCell ref="A3:K3"/>
    <mergeCell ref="A4:T4"/>
    <mergeCell ref="A5:B5"/>
    <mergeCell ref="A7:I7"/>
    <mergeCell ref="A9:B9"/>
    <mergeCell ref="A11:B11"/>
    <mergeCell ref="G11:H11"/>
    <mergeCell ref="A13:A14"/>
    <mergeCell ref="B13:C14"/>
    <mergeCell ref="D13:F13"/>
  </mergeCells>
  <pageMargins left="0.7" right="0.7" top="0.75" bottom="0.75" header="0.3" footer="0.3"/>
  <pageSetup paperSize="9" scale="6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3"/>
  <sheetViews>
    <sheetView view="pageBreakPreview" topLeftCell="A214" zoomScale="70" zoomScaleSheetLayoutView="70" workbookViewId="0">
      <selection activeCell="G247" sqref="G247"/>
    </sheetView>
  </sheetViews>
  <sheetFormatPr defaultRowHeight="15" x14ac:dyDescent="0.25"/>
  <cols>
    <col min="1" max="1" width="6.7109375" style="315" customWidth="1"/>
    <col min="2" max="2" width="25.7109375" style="3" customWidth="1"/>
    <col min="3" max="3" width="10.5703125" style="3" customWidth="1"/>
    <col min="4" max="4" width="14" style="3" customWidth="1"/>
    <col min="5" max="5" width="17.7109375" style="315" customWidth="1"/>
    <col min="6" max="6" width="14" style="315" customWidth="1"/>
    <col min="7" max="10" width="14" style="3" customWidth="1"/>
    <col min="11" max="11" width="14.7109375" customWidth="1"/>
  </cols>
  <sheetData>
    <row r="1" spans="1:10" x14ac:dyDescent="0.25">
      <c r="H1" s="601" t="s">
        <v>246</v>
      </c>
      <c r="I1" s="601"/>
      <c r="J1" s="601"/>
    </row>
    <row r="2" spans="1:10" x14ac:dyDescent="0.25">
      <c r="H2" s="601" t="s">
        <v>279</v>
      </c>
      <c r="I2" s="601"/>
      <c r="J2" s="601"/>
    </row>
    <row r="3" spans="1:10" x14ac:dyDescent="0.25">
      <c r="H3" s="601" t="s">
        <v>278</v>
      </c>
      <c r="I3" s="601"/>
      <c r="J3" s="601"/>
    </row>
    <row r="4" spans="1:10" x14ac:dyDescent="0.25">
      <c r="H4" s="601" t="s">
        <v>247</v>
      </c>
      <c r="I4" s="601"/>
      <c r="J4" s="601"/>
    </row>
    <row r="6" spans="1:10" x14ac:dyDescent="0.25">
      <c r="A6" s="602" t="s">
        <v>248</v>
      </c>
      <c r="B6" s="602"/>
      <c r="C6" s="602"/>
      <c r="D6" s="602"/>
      <c r="E6" s="602"/>
      <c r="F6" s="602"/>
      <c r="G6" s="602"/>
      <c r="H6" s="602"/>
      <c r="I6" s="602"/>
      <c r="J6" s="602"/>
    </row>
    <row r="7" spans="1:10" x14ac:dyDescent="0.25">
      <c r="A7" s="602" t="s">
        <v>594</v>
      </c>
      <c r="B7" s="602"/>
      <c r="C7" s="602"/>
      <c r="D7" s="602"/>
      <c r="E7" s="602"/>
      <c r="F7" s="602"/>
      <c r="G7" s="602"/>
      <c r="H7" s="602"/>
      <c r="I7" s="602"/>
      <c r="J7" s="602"/>
    </row>
    <row r="9" spans="1:10" ht="18.75" x14ac:dyDescent="0.25">
      <c r="A9" s="600" t="s">
        <v>249</v>
      </c>
      <c r="B9" s="600"/>
      <c r="C9" s="600"/>
      <c r="D9" s="600"/>
      <c r="E9" s="600"/>
      <c r="F9" s="600"/>
      <c r="G9" s="600"/>
      <c r="H9" s="600"/>
      <c r="I9" s="600"/>
      <c r="J9" s="600"/>
    </row>
    <row r="10" spans="1:10" ht="18.75" x14ac:dyDescent="0.25">
      <c r="A10" s="600" t="s">
        <v>250</v>
      </c>
      <c r="B10" s="600"/>
      <c r="C10" s="600"/>
      <c r="D10" s="600"/>
      <c r="E10" s="600"/>
      <c r="F10" s="600"/>
      <c r="G10" s="600"/>
      <c r="H10" s="600"/>
      <c r="I10" s="600"/>
      <c r="J10" s="600"/>
    </row>
    <row r="11" spans="1:10" x14ac:dyDescent="0.25">
      <c r="A11" s="600" t="s">
        <v>251</v>
      </c>
      <c r="B11" s="600"/>
      <c r="C11" s="600"/>
      <c r="D11" s="600"/>
      <c r="E11" s="600"/>
      <c r="F11" s="600"/>
      <c r="G11" s="600"/>
      <c r="H11" s="600"/>
      <c r="I11" s="600"/>
      <c r="J11" s="600"/>
    </row>
    <row r="12" spans="1:10" x14ac:dyDescent="0.25">
      <c r="A12" s="600"/>
      <c r="B12" s="600"/>
      <c r="C12" s="600"/>
      <c r="D12" s="600"/>
      <c r="E12" s="600"/>
      <c r="F12" s="600"/>
      <c r="G12" s="600"/>
      <c r="H12" s="600"/>
      <c r="I12" s="600"/>
      <c r="J12" s="600"/>
    </row>
    <row r="13" spans="1:10" ht="18.75" x14ac:dyDescent="0.25">
      <c r="A13" s="312"/>
    </row>
    <row r="14" spans="1:10" ht="15.75" x14ac:dyDescent="0.25">
      <c r="A14" s="439" t="s">
        <v>337</v>
      </c>
      <c r="B14" s="439"/>
      <c r="C14" s="439"/>
      <c r="D14" s="439"/>
      <c r="E14" s="439"/>
      <c r="F14" s="439"/>
      <c r="G14" s="439"/>
      <c r="H14" s="439"/>
      <c r="I14" s="439"/>
      <c r="J14" s="439"/>
    </row>
    <row r="15" spans="1:10" ht="15.75" x14ac:dyDescent="0.25">
      <c r="A15" s="309"/>
      <c r="B15" s="36"/>
      <c r="C15" s="36"/>
      <c r="D15" s="36"/>
      <c r="E15" s="322"/>
      <c r="F15" s="322"/>
      <c r="G15" s="36"/>
      <c r="H15" s="36"/>
      <c r="I15" s="36"/>
      <c r="J15" s="36"/>
    </row>
    <row r="16" spans="1:10" ht="15.75" x14ac:dyDescent="0.25">
      <c r="A16" s="439" t="s">
        <v>338</v>
      </c>
      <c r="B16" s="439"/>
      <c r="C16" s="439"/>
      <c r="D16" s="439"/>
      <c r="E16" s="439"/>
      <c r="F16" s="439"/>
      <c r="G16" s="439"/>
      <c r="H16" s="439"/>
      <c r="I16" s="439"/>
      <c r="J16" s="439"/>
    </row>
    <row r="17" spans="1:11" ht="18.75" x14ac:dyDescent="0.25">
      <c r="A17" s="312"/>
    </row>
    <row r="18" spans="1:11" s="7" customFormat="1" ht="15.75" x14ac:dyDescent="0.25">
      <c r="A18" s="595" t="s">
        <v>252</v>
      </c>
      <c r="B18" s="595"/>
      <c r="C18" s="595"/>
      <c r="D18" s="595"/>
      <c r="E18" s="595"/>
      <c r="F18" s="595"/>
      <c r="G18" s="595"/>
      <c r="H18" s="595"/>
      <c r="I18" s="595"/>
      <c r="J18" s="595"/>
    </row>
    <row r="20" spans="1:11" s="33" customFormat="1" ht="43.5" customHeight="1" x14ac:dyDescent="0.25">
      <c r="A20" s="597" t="s">
        <v>253</v>
      </c>
      <c r="B20" s="416" t="s">
        <v>707</v>
      </c>
      <c r="C20" s="416" t="s">
        <v>708</v>
      </c>
      <c r="D20" s="416" t="s">
        <v>254</v>
      </c>
      <c r="E20" s="416"/>
      <c r="F20" s="416"/>
      <c r="G20" s="416"/>
      <c r="H20" s="416" t="s">
        <v>255</v>
      </c>
      <c r="I20" s="596" t="s">
        <v>256</v>
      </c>
      <c r="J20" s="597" t="s">
        <v>800</v>
      </c>
    </row>
    <row r="21" spans="1:11" s="33" customFormat="1" ht="21" customHeight="1" x14ac:dyDescent="0.25">
      <c r="A21" s="598"/>
      <c r="B21" s="416"/>
      <c r="C21" s="416"/>
      <c r="D21" s="416" t="s">
        <v>257</v>
      </c>
      <c r="E21" s="416" t="s">
        <v>23</v>
      </c>
      <c r="F21" s="416"/>
      <c r="G21" s="416"/>
      <c r="H21" s="416"/>
      <c r="I21" s="596"/>
      <c r="J21" s="598"/>
    </row>
    <row r="22" spans="1:11" s="33" customFormat="1" ht="99" customHeight="1" x14ac:dyDescent="0.25">
      <c r="A22" s="599"/>
      <c r="B22" s="416"/>
      <c r="C22" s="416"/>
      <c r="D22" s="416"/>
      <c r="E22" s="308" t="s">
        <v>258</v>
      </c>
      <c r="F22" s="308" t="s">
        <v>259</v>
      </c>
      <c r="G22" s="307" t="s">
        <v>709</v>
      </c>
      <c r="H22" s="416"/>
      <c r="I22" s="596"/>
      <c r="J22" s="599"/>
    </row>
    <row r="23" spans="1:11" x14ac:dyDescent="0.25">
      <c r="A23" s="308">
        <v>1</v>
      </c>
      <c r="B23" s="31">
        <v>2</v>
      </c>
      <c r="C23" s="31">
        <v>3</v>
      </c>
      <c r="D23" s="31">
        <v>4</v>
      </c>
      <c r="E23" s="308">
        <v>5</v>
      </c>
      <c r="F23" s="308">
        <v>6</v>
      </c>
      <c r="G23" s="31">
        <v>7</v>
      </c>
      <c r="H23" s="31">
        <v>8</v>
      </c>
      <c r="I23" s="31">
        <v>9</v>
      </c>
      <c r="J23" s="32">
        <v>10</v>
      </c>
    </row>
    <row r="24" spans="1:11" x14ac:dyDescent="0.25">
      <c r="A24" s="372"/>
      <c r="B24" s="374" t="s">
        <v>491</v>
      </c>
      <c r="C24" s="372">
        <v>1.8</v>
      </c>
      <c r="D24" s="373">
        <v>8944.9669887681175</v>
      </c>
      <c r="E24" s="372"/>
      <c r="F24" s="372"/>
      <c r="G24" s="373">
        <v>15655.1</v>
      </c>
      <c r="H24" s="372"/>
      <c r="I24" s="372">
        <v>1.1499999999999999</v>
      </c>
      <c r="J24" s="267">
        <f>(C24*D24*(1+H24/100)*I24*12)</f>
        <v>222192.98000099999</v>
      </c>
    </row>
    <row r="25" spans="1:11" x14ac:dyDescent="0.25">
      <c r="A25" s="372"/>
      <c r="B25" s="374" t="s">
        <v>493</v>
      </c>
      <c r="C25" s="372">
        <v>37.1</v>
      </c>
      <c r="D25" s="373">
        <v>2396.3894488065939</v>
      </c>
      <c r="E25" s="372"/>
      <c r="F25" s="372"/>
      <c r="G25" s="373">
        <v>459.35232040411745</v>
      </c>
      <c r="H25" s="372"/>
      <c r="I25" s="372">
        <v>1.1499999999999999</v>
      </c>
      <c r="J25" s="267">
        <f>(C25*D25*(1+H25/100)*I25*12)</f>
        <v>1226903.47</v>
      </c>
    </row>
    <row r="26" spans="1:11" x14ac:dyDescent="0.25">
      <c r="A26" s="372"/>
      <c r="B26" s="374" t="s">
        <v>494</v>
      </c>
      <c r="C26" s="372"/>
      <c r="D26" s="373"/>
      <c r="E26" s="372"/>
      <c r="F26" s="372"/>
      <c r="G26" s="373"/>
      <c r="H26" s="372"/>
      <c r="I26" s="372"/>
      <c r="J26" s="267">
        <f>(C26*D26*(1+H26/100)*I26*12)</f>
        <v>0</v>
      </c>
    </row>
    <row r="27" spans="1:11" x14ac:dyDescent="0.25">
      <c r="A27" s="372"/>
      <c r="B27" s="374" t="s">
        <v>495</v>
      </c>
      <c r="C27" s="372">
        <v>26.1</v>
      </c>
      <c r="D27" s="373">
        <v>1041.9660169942806</v>
      </c>
      <c r="E27" s="372"/>
      <c r="F27" s="372"/>
      <c r="G27" s="373">
        <v>800</v>
      </c>
      <c r="H27" s="372"/>
      <c r="I27" s="372">
        <v>1.1499999999999999</v>
      </c>
      <c r="J27" s="267">
        <f>(C27*D27*(1+H27/100)*I27*12)</f>
        <v>375295.32000099996</v>
      </c>
      <c r="K27" s="211"/>
    </row>
    <row r="28" spans="1:11" x14ac:dyDescent="0.25">
      <c r="A28" s="372"/>
      <c r="B28" s="374" t="s">
        <v>496</v>
      </c>
      <c r="C28" s="372" t="s">
        <v>19</v>
      </c>
      <c r="D28" s="373"/>
      <c r="E28" s="372" t="s">
        <v>19</v>
      </c>
      <c r="F28" s="372" t="s">
        <v>19</v>
      </c>
      <c r="G28" s="372" t="s">
        <v>19</v>
      </c>
      <c r="H28" s="372" t="s">
        <v>19</v>
      </c>
      <c r="I28" s="372" t="s">
        <v>19</v>
      </c>
      <c r="J28" s="267">
        <f>SUM(J24:J27)</f>
        <v>1824391.770002</v>
      </c>
    </row>
    <row r="29" spans="1:11" ht="15" customHeight="1" x14ac:dyDescent="0.25">
      <c r="A29" s="502" t="s">
        <v>260</v>
      </c>
      <c r="B29" s="504"/>
      <c r="C29" s="372" t="s">
        <v>261</v>
      </c>
      <c r="D29" s="372"/>
      <c r="E29" s="372" t="s">
        <v>261</v>
      </c>
      <c r="F29" s="372" t="s">
        <v>261</v>
      </c>
      <c r="G29" s="372" t="s">
        <v>261</v>
      </c>
      <c r="H29" s="372" t="s">
        <v>261</v>
      </c>
      <c r="I29" s="372" t="s">
        <v>261</v>
      </c>
      <c r="J29" s="373">
        <f>J24+J25+J26+J27</f>
        <v>1824391.770002</v>
      </c>
      <c r="K29" s="314"/>
    </row>
    <row r="31" spans="1:11" ht="22.5" customHeight="1" x14ac:dyDescent="0.25">
      <c r="A31" s="316"/>
      <c r="B31" s="45"/>
      <c r="C31" s="45"/>
      <c r="D31" s="45"/>
      <c r="E31" s="316"/>
      <c r="F31" s="316"/>
      <c r="G31" s="45"/>
      <c r="H31" s="45"/>
      <c r="I31" s="45"/>
      <c r="J31" s="45"/>
    </row>
    <row r="33" spans="1:10" ht="15.75" x14ac:dyDescent="0.25">
      <c r="A33" s="446" t="s">
        <v>280</v>
      </c>
      <c r="B33" s="446"/>
      <c r="C33" s="446"/>
      <c r="D33" s="446"/>
      <c r="E33" s="446"/>
      <c r="F33" s="446"/>
      <c r="G33" s="446"/>
      <c r="H33" s="446"/>
      <c r="I33" s="446"/>
      <c r="J33" s="446"/>
    </row>
    <row r="34" spans="1:10" ht="18.75" x14ac:dyDescent="0.25">
      <c r="A34" s="312"/>
      <c r="B34"/>
      <c r="C34"/>
      <c r="D34"/>
      <c r="E34" s="323"/>
      <c r="F34" s="323"/>
    </row>
    <row r="35" spans="1:10" ht="92.25" customHeight="1" x14ac:dyDescent="0.25">
      <c r="A35" s="308" t="s">
        <v>253</v>
      </c>
      <c r="B35" s="416" t="s">
        <v>281</v>
      </c>
      <c r="C35" s="416"/>
      <c r="D35" s="416"/>
      <c r="E35" s="308" t="s">
        <v>282</v>
      </c>
      <c r="F35" s="308" t="s">
        <v>283</v>
      </c>
      <c r="G35" s="31" t="s">
        <v>284</v>
      </c>
      <c r="H35" s="31" t="s">
        <v>285</v>
      </c>
    </row>
    <row r="36" spans="1:10" s="33" customFormat="1" x14ac:dyDescent="0.25">
      <c r="A36" s="308">
        <v>1</v>
      </c>
      <c r="B36" s="416">
        <v>2</v>
      </c>
      <c r="C36" s="416"/>
      <c r="D36" s="416"/>
      <c r="E36" s="308">
        <v>3</v>
      </c>
      <c r="F36" s="308">
        <v>4</v>
      </c>
      <c r="G36" s="31">
        <v>5</v>
      </c>
      <c r="H36" s="31">
        <v>6</v>
      </c>
      <c r="I36" s="3"/>
      <c r="J36" s="3"/>
    </row>
    <row r="37" spans="1:10" s="33" customFormat="1" x14ac:dyDescent="0.25">
      <c r="A37" s="308"/>
      <c r="B37" s="416"/>
      <c r="C37" s="416"/>
      <c r="D37" s="416"/>
      <c r="E37" s="308"/>
      <c r="F37" s="308"/>
      <c r="G37" s="21"/>
      <c r="H37" s="42"/>
      <c r="I37" s="3"/>
      <c r="J37" s="3"/>
    </row>
    <row r="38" spans="1:10" s="33" customFormat="1" x14ac:dyDescent="0.25">
      <c r="A38" s="308"/>
      <c r="B38" s="416"/>
      <c r="C38" s="416"/>
      <c r="D38" s="416"/>
      <c r="E38" s="308"/>
      <c r="F38" s="308"/>
      <c r="G38" s="21"/>
      <c r="H38" s="42"/>
      <c r="I38" s="3"/>
      <c r="J38" s="3"/>
    </row>
    <row r="39" spans="1:10" s="33" customFormat="1" ht="18.75" customHeight="1" x14ac:dyDescent="0.25">
      <c r="A39" s="308"/>
      <c r="B39" s="416" t="s">
        <v>260</v>
      </c>
      <c r="C39" s="416"/>
      <c r="D39" s="416"/>
      <c r="E39" s="308" t="s">
        <v>261</v>
      </c>
      <c r="F39" s="308" t="s">
        <v>261</v>
      </c>
      <c r="G39" s="31" t="s">
        <v>261</v>
      </c>
      <c r="H39" s="28">
        <f>H38+H37</f>
        <v>0</v>
      </c>
      <c r="I39" s="3"/>
      <c r="J39" s="3"/>
    </row>
    <row r="40" spans="1:10" ht="18.75" x14ac:dyDescent="0.25">
      <c r="A40" s="312"/>
      <c r="B40"/>
      <c r="C40"/>
      <c r="D40"/>
      <c r="E40" s="323"/>
      <c r="F40" s="323"/>
    </row>
    <row r="41" spans="1:10" ht="18.75" x14ac:dyDescent="0.25">
      <c r="A41" s="312"/>
      <c r="B41"/>
      <c r="C41"/>
      <c r="D41"/>
      <c r="E41" s="323"/>
      <c r="F41" s="323"/>
    </row>
    <row r="42" spans="1:10" ht="15.75" x14ac:dyDescent="0.25">
      <c r="A42" s="446" t="s">
        <v>710</v>
      </c>
      <c r="B42" s="446"/>
      <c r="C42" s="446"/>
      <c r="D42" s="446"/>
      <c r="E42" s="446"/>
      <c r="F42" s="446"/>
      <c r="G42" s="446"/>
      <c r="H42" s="446"/>
      <c r="I42" s="446"/>
      <c r="J42" s="446"/>
    </row>
    <row r="43" spans="1:10" ht="18.75" x14ac:dyDescent="0.25">
      <c r="A43" s="312"/>
      <c r="B43"/>
      <c r="C43"/>
      <c r="D43"/>
      <c r="E43" s="323"/>
      <c r="F43" s="323"/>
    </row>
    <row r="44" spans="1:10" s="33" customFormat="1" ht="60" x14ac:dyDescent="0.25">
      <c r="A44" s="308" t="s">
        <v>253</v>
      </c>
      <c r="B44" s="416" t="s">
        <v>281</v>
      </c>
      <c r="C44" s="416"/>
      <c r="D44" s="416"/>
      <c r="E44" s="308" t="s">
        <v>286</v>
      </c>
      <c r="F44" s="308" t="s">
        <v>287</v>
      </c>
      <c r="G44" s="31" t="s">
        <v>288</v>
      </c>
      <c r="H44" s="31" t="s">
        <v>285</v>
      </c>
      <c r="I44" s="3"/>
      <c r="J44" s="3"/>
    </row>
    <row r="45" spans="1:10" s="33" customFormat="1" x14ac:dyDescent="0.25">
      <c r="A45" s="308">
        <v>1</v>
      </c>
      <c r="B45" s="416">
        <v>2</v>
      </c>
      <c r="C45" s="416"/>
      <c r="D45" s="416"/>
      <c r="E45" s="308">
        <v>3</v>
      </c>
      <c r="F45" s="308">
        <v>4</v>
      </c>
      <c r="G45" s="31">
        <v>5</v>
      </c>
      <c r="H45" s="31">
        <v>6</v>
      </c>
      <c r="I45" s="3"/>
      <c r="J45" s="3"/>
    </row>
    <row r="46" spans="1:10" s="33" customFormat="1" x14ac:dyDescent="0.25">
      <c r="A46" s="308">
        <v>1</v>
      </c>
      <c r="B46" s="441" t="s">
        <v>793</v>
      </c>
      <c r="C46" s="441"/>
      <c r="D46" s="441"/>
      <c r="E46" s="360">
        <v>6</v>
      </c>
      <c r="F46" s="360">
        <v>1</v>
      </c>
      <c r="G46" s="361">
        <v>1666.6666666666667</v>
      </c>
      <c r="H46" s="28">
        <v>10000</v>
      </c>
      <c r="I46" s="3"/>
      <c r="J46" s="3"/>
    </row>
    <row r="47" spans="1:10" s="33" customFormat="1" x14ac:dyDescent="0.25">
      <c r="A47" s="308"/>
      <c r="B47" s="416"/>
      <c r="C47" s="416"/>
      <c r="D47" s="416"/>
      <c r="E47" s="308"/>
      <c r="F47" s="308"/>
      <c r="G47" s="21"/>
      <c r="H47" s="28"/>
      <c r="I47" s="3"/>
      <c r="J47" s="3"/>
    </row>
    <row r="48" spans="1:10" s="33" customFormat="1" ht="19.5" customHeight="1" x14ac:dyDescent="0.25">
      <c r="A48" s="317"/>
      <c r="B48" s="416" t="s">
        <v>260</v>
      </c>
      <c r="C48" s="416"/>
      <c r="D48" s="416"/>
      <c r="E48" s="308" t="s">
        <v>261</v>
      </c>
      <c r="F48" s="308" t="s">
        <v>261</v>
      </c>
      <c r="G48" s="31" t="s">
        <v>261</v>
      </c>
      <c r="H48" s="28">
        <f>H46+H47</f>
        <v>10000</v>
      </c>
      <c r="I48" s="3"/>
      <c r="J48" s="3"/>
    </row>
    <row r="51" spans="1:10" s="33" customFormat="1" ht="32.25" customHeight="1" x14ac:dyDescent="0.25">
      <c r="A51" s="497" t="s">
        <v>339</v>
      </c>
      <c r="B51" s="497"/>
      <c r="C51" s="497"/>
      <c r="D51" s="497"/>
      <c r="E51" s="497"/>
      <c r="F51" s="497"/>
      <c r="G51" s="497"/>
      <c r="H51" s="497"/>
      <c r="I51" s="497"/>
      <c r="J51" s="497"/>
    </row>
    <row r="52" spans="1:10" s="33" customFormat="1" x14ac:dyDescent="0.25">
      <c r="A52" s="35"/>
      <c r="E52" s="315"/>
      <c r="F52" s="315"/>
      <c r="G52" s="3"/>
      <c r="H52" s="3"/>
      <c r="I52" s="3"/>
      <c r="J52" s="3"/>
    </row>
    <row r="53" spans="1:10" s="33" customFormat="1" ht="75" x14ac:dyDescent="0.25">
      <c r="A53" s="308" t="s">
        <v>253</v>
      </c>
      <c r="B53" s="416" t="s">
        <v>262</v>
      </c>
      <c r="C53" s="416"/>
      <c r="D53" s="416"/>
      <c r="E53" s="416"/>
      <c r="F53" s="416"/>
      <c r="G53" s="31" t="s">
        <v>263</v>
      </c>
      <c r="H53" s="31" t="s">
        <v>264</v>
      </c>
      <c r="I53" s="3"/>
      <c r="J53" s="3"/>
    </row>
    <row r="54" spans="1:10" s="33" customFormat="1" x14ac:dyDescent="0.25">
      <c r="A54" s="308">
        <v>1</v>
      </c>
      <c r="B54" s="416">
        <v>2</v>
      </c>
      <c r="C54" s="416"/>
      <c r="D54" s="416"/>
      <c r="E54" s="416"/>
      <c r="F54" s="416"/>
      <c r="G54" s="31">
        <v>3</v>
      </c>
      <c r="H54" s="31">
        <v>4</v>
      </c>
      <c r="I54" s="3"/>
      <c r="J54" s="3"/>
    </row>
    <row r="55" spans="1:10" s="33" customFormat="1" ht="21" customHeight="1" x14ac:dyDescent="0.25">
      <c r="A55" s="308">
        <v>1</v>
      </c>
      <c r="B55" s="441" t="s">
        <v>265</v>
      </c>
      <c r="C55" s="441"/>
      <c r="D55" s="441"/>
      <c r="E55" s="441"/>
      <c r="F55" s="441"/>
      <c r="G55" s="31" t="s">
        <v>261</v>
      </c>
      <c r="H55" s="28">
        <f>H57+H58+H59</f>
        <v>401366.18940044002</v>
      </c>
      <c r="I55" s="3"/>
      <c r="J55" s="3"/>
    </row>
    <row r="56" spans="1:10" s="33" customFormat="1" x14ac:dyDescent="0.25">
      <c r="A56" s="34"/>
      <c r="B56" s="441" t="s">
        <v>23</v>
      </c>
      <c r="C56" s="441"/>
      <c r="D56" s="441"/>
      <c r="E56" s="441"/>
      <c r="F56" s="441"/>
      <c r="G56" s="21"/>
      <c r="H56" s="28"/>
      <c r="I56" s="3"/>
      <c r="J56" s="3"/>
    </row>
    <row r="57" spans="1:10" s="33" customFormat="1" x14ac:dyDescent="0.25">
      <c r="A57" s="34" t="s">
        <v>290</v>
      </c>
      <c r="B57" s="441" t="s">
        <v>266</v>
      </c>
      <c r="C57" s="441"/>
      <c r="D57" s="441"/>
      <c r="E57" s="441"/>
      <c r="F57" s="441"/>
      <c r="G57" s="42">
        <f>J29</f>
        <v>1824391.770002</v>
      </c>
      <c r="H57" s="28">
        <f>G57*22%</f>
        <v>401366.18940044002</v>
      </c>
      <c r="I57" s="3"/>
      <c r="J57" s="3"/>
    </row>
    <row r="58" spans="1:10" s="33" customFormat="1" x14ac:dyDescent="0.25">
      <c r="A58" s="34" t="s">
        <v>291</v>
      </c>
      <c r="B58" s="441" t="s">
        <v>267</v>
      </c>
      <c r="C58" s="441"/>
      <c r="D58" s="441"/>
      <c r="E58" s="441"/>
      <c r="F58" s="441"/>
      <c r="G58" s="21"/>
      <c r="H58" s="28"/>
      <c r="I58" s="3"/>
      <c r="J58" s="3"/>
    </row>
    <row r="59" spans="1:10" s="33" customFormat="1" ht="41.25" customHeight="1" x14ac:dyDescent="0.25">
      <c r="A59" s="34" t="s">
        <v>292</v>
      </c>
      <c r="B59" s="441" t="s">
        <v>268</v>
      </c>
      <c r="C59" s="441"/>
      <c r="D59" s="441"/>
      <c r="E59" s="441"/>
      <c r="F59" s="441"/>
      <c r="G59" s="21"/>
      <c r="H59" s="28"/>
      <c r="I59" s="3"/>
      <c r="J59" s="3"/>
    </row>
    <row r="60" spans="1:10" s="33" customFormat="1" ht="21" customHeight="1" x14ac:dyDescent="0.25">
      <c r="A60" s="34" t="s">
        <v>80</v>
      </c>
      <c r="B60" s="441" t="s">
        <v>269</v>
      </c>
      <c r="C60" s="441"/>
      <c r="D60" s="441"/>
      <c r="E60" s="441"/>
      <c r="F60" s="441"/>
      <c r="G60" s="31" t="s">
        <v>261</v>
      </c>
      <c r="H60" s="28">
        <f>H62+H63+H64+H65+H66</f>
        <v>56556.144870061995</v>
      </c>
      <c r="I60" s="3"/>
      <c r="J60" s="3"/>
    </row>
    <row r="61" spans="1:10" s="33" customFormat="1" ht="21" customHeight="1" x14ac:dyDescent="0.25">
      <c r="A61" s="34"/>
      <c r="B61" s="441" t="s">
        <v>23</v>
      </c>
      <c r="C61" s="441"/>
      <c r="D61" s="441"/>
      <c r="E61" s="441"/>
      <c r="F61" s="441"/>
      <c r="G61" s="21"/>
      <c r="H61" s="42"/>
      <c r="I61" s="3"/>
      <c r="J61" s="3"/>
    </row>
    <row r="62" spans="1:10" s="33" customFormat="1" ht="36" customHeight="1" x14ac:dyDescent="0.25">
      <c r="A62" s="34" t="s">
        <v>293</v>
      </c>
      <c r="B62" s="441" t="s">
        <v>270</v>
      </c>
      <c r="C62" s="441"/>
      <c r="D62" s="441"/>
      <c r="E62" s="441"/>
      <c r="F62" s="441"/>
      <c r="G62" s="42">
        <f>G57</f>
        <v>1824391.770002</v>
      </c>
      <c r="H62" s="310">
        <f>G62*2.9%</f>
        <v>52907.361330057996</v>
      </c>
      <c r="I62" s="3"/>
      <c r="J62" s="3"/>
    </row>
    <row r="63" spans="1:10" s="33" customFormat="1" ht="36" customHeight="1" x14ac:dyDescent="0.25">
      <c r="A63" s="34" t="s">
        <v>294</v>
      </c>
      <c r="B63" s="441" t="s">
        <v>271</v>
      </c>
      <c r="C63" s="441"/>
      <c r="D63" s="441"/>
      <c r="E63" s="441"/>
      <c r="F63" s="441"/>
      <c r="G63" s="21"/>
      <c r="H63" s="28"/>
      <c r="I63" s="3"/>
      <c r="J63" s="3"/>
    </row>
    <row r="64" spans="1:10" s="33" customFormat="1" ht="36" customHeight="1" x14ac:dyDescent="0.25">
      <c r="A64" s="34" t="s">
        <v>295</v>
      </c>
      <c r="B64" s="441" t="s">
        <v>272</v>
      </c>
      <c r="C64" s="441"/>
      <c r="D64" s="441"/>
      <c r="E64" s="441"/>
      <c r="F64" s="441"/>
      <c r="G64" s="42">
        <f>G57</f>
        <v>1824391.770002</v>
      </c>
      <c r="H64" s="28">
        <f>G64*0.2%</f>
        <v>3648.7835400040003</v>
      </c>
      <c r="I64" s="3"/>
      <c r="J64" s="3"/>
    </row>
    <row r="65" spans="1:10" s="33" customFormat="1" ht="36" customHeight="1" x14ac:dyDescent="0.25">
      <c r="A65" s="34" t="s">
        <v>296</v>
      </c>
      <c r="B65" s="441" t="s">
        <v>289</v>
      </c>
      <c r="C65" s="441"/>
      <c r="D65" s="441"/>
      <c r="E65" s="441"/>
      <c r="F65" s="441"/>
      <c r="G65" s="21"/>
      <c r="H65" s="28"/>
      <c r="I65" s="3"/>
      <c r="J65" s="3"/>
    </row>
    <row r="66" spans="1:10" s="33" customFormat="1" ht="36" customHeight="1" x14ac:dyDescent="0.25">
      <c r="A66" s="34" t="s">
        <v>297</v>
      </c>
      <c r="B66" s="441" t="s">
        <v>289</v>
      </c>
      <c r="C66" s="441"/>
      <c r="D66" s="441"/>
      <c r="E66" s="441"/>
      <c r="F66" s="441"/>
      <c r="G66" s="21"/>
      <c r="H66" s="28"/>
      <c r="I66" s="3"/>
      <c r="J66" s="3"/>
    </row>
    <row r="67" spans="1:10" s="33" customFormat="1" ht="36" customHeight="1" x14ac:dyDescent="0.25">
      <c r="A67" s="34" t="s">
        <v>161</v>
      </c>
      <c r="B67" s="441" t="s">
        <v>273</v>
      </c>
      <c r="C67" s="441"/>
      <c r="D67" s="441"/>
      <c r="E67" s="441"/>
      <c r="F67" s="441"/>
      <c r="G67" s="42">
        <f>G57</f>
        <v>1824391.770002</v>
      </c>
      <c r="H67" s="28">
        <f>G67*5.1%</f>
        <v>93043.980270101994</v>
      </c>
      <c r="I67" s="3"/>
      <c r="J67" s="3"/>
    </row>
    <row r="68" spans="1:10" s="33" customFormat="1" ht="15" customHeight="1" x14ac:dyDescent="0.25">
      <c r="A68" s="308"/>
      <c r="B68" s="416" t="s">
        <v>260</v>
      </c>
      <c r="C68" s="416"/>
      <c r="D68" s="416"/>
      <c r="E68" s="416"/>
      <c r="F68" s="416"/>
      <c r="G68" s="31" t="s">
        <v>261</v>
      </c>
      <c r="H68" s="28">
        <f>H55+H60+H67</f>
        <v>550966.31454060401</v>
      </c>
      <c r="I68" s="3"/>
      <c r="J68" s="3"/>
    </row>
    <row r="69" spans="1:10" s="33" customFormat="1" ht="59.25" customHeight="1" x14ac:dyDescent="0.25">
      <c r="A69" s="603" t="s">
        <v>420</v>
      </c>
      <c r="B69" s="603"/>
      <c r="C69" s="603"/>
      <c r="D69" s="603"/>
      <c r="E69" s="603"/>
      <c r="F69" s="603"/>
      <c r="G69" s="603"/>
      <c r="H69" s="603"/>
      <c r="I69" s="603"/>
      <c r="J69" s="603"/>
    </row>
    <row r="70" spans="1:10" s="33" customFormat="1" ht="32.25" customHeight="1" x14ac:dyDescent="0.25">
      <c r="A70" s="604" t="s">
        <v>274</v>
      </c>
      <c r="B70" s="604"/>
      <c r="C70" s="604"/>
      <c r="D70" s="604"/>
      <c r="E70" s="604"/>
      <c r="F70" s="604"/>
      <c r="G70" s="604"/>
      <c r="H70" s="604"/>
      <c r="I70" s="604"/>
      <c r="J70" s="604"/>
    </row>
    <row r="75" spans="1:10" ht="15.75" x14ac:dyDescent="0.25">
      <c r="A75" s="446" t="s">
        <v>298</v>
      </c>
      <c r="B75" s="446"/>
      <c r="C75" s="446"/>
      <c r="D75" s="446"/>
      <c r="E75" s="446"/>
      <c r="F75" s="446"/>
      <c r="G75" s="446"/>
      <c r="H75" s="446"/>
      <c r="I75" s="446"/>
      <c r="J75" s="446"/>
    </row>
    <row r="76" spans="1:10" ht="15.75" x14ac:dyDescent="0.25">
      <c r="A76" s="309"/>
      <c r="B76" s="37"/>
      <c r="C76" s="37"/>
      <c r="D76" s="37"/>
      <c r="E76" s="324"/>
      <c r="F76" s="324"/>
      <c r="G76" s="36"/>
      <c r="H76" s="36"/>
      <c r="I76" s="36"/>
      <c r="J76" s="36"/>
    </row>
    <row r="77" spans="1:10" ht="15.75" x14ac:dyDescent="0.25">
      <c r="A77" s="439" t="s">
        <v>340</v>
      </c>
      <c r="B77" s="439"/>
      <c r="C77" s="439"/>
      <c r="D77" s="439"/>
      <c r="E77" s="439"/>
      <c r="F77" s="439"/>
      <c r="G77" s="439"/>
      <c r="H77" s="439"/>
      <c r="I77" s="439"/>
      <c r="J77" s="439"/>
    </row>
    <row r="78" spans="1:10" ht="15.75" x14ac:dyDescent="0.25">
      <c r="A78" s="309"/>
      <c r="B78" s="38"/>
      <c r="C78" s="38"/>
      <c r="D78" s="38"/>
      <c r="E78" s="324"/>
      <c r="F78" s="324"/>
      <c r="G78" s="39"/>
      <c r="H78" s="39"/>
      <c r="I78" s="39"/>
      <c r="J78" s="39"/>
    </row>
    <row r="79" spans="1:10" ht="15.75" x14ac:dyDescent="0.25">
      <c r="A79" s="439" t="s">
        <v>299</v>
      </c>
      <c r="B79" s="439"/>
      <c r="C79" s="439"/>
      <c r="D79" s="439"/>
      <c r="E79" s="439"/>
      <c r="F79" s="439"/>
      <c r="G79" s="439"/>
      <c r="H79" s="439"/>
      <c r="I79" s="439"/>
      <c r="J79" s="439"/>
    </row>
    <row r="80" spans="1:10" x14ac:dyDescent="0.25">
      <c r="A80" s="35"/>
      <c r="B80" s="33"/>
      <c r="C80" s="33"/>
      <c r="D80" s="33"/>
      <c r="E80" s="325"/>
      <c r="F80" s="325"/>
    </row>
    <row r="81" spans="1:10" ht="60" x14ac:dyDescent="0.25">
      <c r="A81" s="308" t="s">
        <v>253</v>
      </c>
      <c r="B81" s="416" t="s">
        <v>9</v>
      </c>
      <c r="C81" s="416"/>
      <c r="D81" s="416"/>
      <c r="E81" s="308" t="s">
        <v>300</v>
      </c>
      <c r="F81" s="308" t="s">
        <v>301</v>
      </c>
      <c r="G81" s="31" t="s">
        <v>302</v>
      </c>
    </row>
    <row r="82" spans="1:10" x14ac:dyDescent="0.25">
      <c r="A82" s="308">
        <v>1</v>
      </c>
      <c r="B82" s="416">
        <v>2</v>
      </c>
      <c r="C82" s="416"/>
      <c r="D82" s="416"/>
      <c r="E82" s="308">
        <v>3</v>
      </c>
      <c r="F82" s="308">
        <v>4</v>
      </c>
      <c r="G82" s="31">
        <v>5</v>
      </c>
    </row>
    <row r="83" spans="1:10" x14ac:dyDescent="0.25">
      <c r="A83" s="308">
        <v>1</v>
      </c>
      <c r="B83" s="479" t="s">
        <v>774</v>
      </c>
      <c r="C83" s="480"/>
      <c r="D83" s="496"/>
      <c r="E83" s="361">
        <v>1766.42</v>
      </c>
      <c r="F83" s="308">
        <v>9</v>
      </c>
      <c r="G83" s="28">
        <v>15897.75</v>
      </c>
    </row>
    <row r="84" spans="1:10" x14ac:dyDescent="0.25">
      <c r="A84" s="308"/>
      <c r="B84" s="441"/>
      <c r="C84" s="441"/>
      <c r="D84" s="441"/>
      <c r="E84" s="308"/>
      <c r="F84" s="308"/>
      <c r="G84" s="28"/>
    </row>
    <row r="85" spans="1:10" ht="15" customHeight="1" x14ac:dyDescent="0.25">
      <c r="A85" s="317"/>
      <c r="B85" s="416" t="s">
        <v>260</v>
      </c>
      <c r="C85" s="416"/>
      <c r="D85" s="416"/>
      <c r="E85" s="308" t="s">
        <v>261</v>
      </c>
      <c r="F85" s="308" t="s">
        <v>261</v>
      </c>
      <c r="G85" s="28">
        <f>G83+G84</f>
        <v>15897.75</v>
      </c>
    </row>
    <row r="86" spans="1:10" x14ac:dyDescent="0.25">
      <c r="A86" s="35"/>
      <c r="B86" s="33"/>
      <c r="C86" s="33"/>
      <c r="D86" s="33"/>
      <c r="E86" s="325"/>
      <c r="F86" s="325"/>
    </row>
    <row r="87" spans="1:10" x14ac:dyDescent="0.25">
      <c r="A87" s="35"/>
      <c r="B87" s="33"/>
      <c r="C87" s="33"/>
      <c r="D87" s="33"/>
      <c r="E87" s="325"/>
      <c r="F87" s="325"/>
    </row>
    <row r="88" spans="1:10" x14ac:dyDescent="0.25">
      <c r="A88" s="35"/>
      <c r="B88" s="33"/>
      <c r="C88" s="33"/>
      <c r="D88" s="33"/>
      <c r="E88" s="325"/>
      <c r="F88" s="325"/>
    </row>
    <row r="89" spans="1:10" x14ac:dyDescent="0.25">
      <c r="A89" s="35"/>
      <c r="B89" s="33"/>
      <c r="C89" s="33"/>
      <c r="D89" s="33"/>
      <c r="E89" s="325"/>
      <c r="F89" s="325"/>
    </row>
    <row r="90" spans="1:10" ht="15.75" x14ac:dyDescent="0.25">
      <c r="A90" s="605" t="s">
        <v>303</v>
      </c>
      <c r="B90" s="605"/>
      <c r="C90" s="605"/>
      <c r="D90" s="605"/>
      <c r="E90" s="605"/>
      <c r="F90" s="605"/>
      <c r="G90" s="605"/>
      <c r="H90" s="605"/>
      <c r="I90" s="605"/>
      <c r="J90" s="605"/>
    </row>
    <row r="91" spans="1:10" ht="15.75" x14ac:dyDescent="0.25">
      <c r="A91" s="309"/>
      <c r="B91" s="40"/>
      <c r="C91" s="40"/>
      <c r="D91" s="40"/>
      <c r="E91" s="324"/>
      <c r="F91" s="324"/>
      <c r="G91" s="41"/>
      <c r="H91" s="41"/>
      <c r="I91" s="41"/>
      <c r="J91" s="41"/>
    </row>
    <row r="92" spans="1:10" ht="15.75" x14ac:dyDescent="0.25">
      <c r="A92" s="606" t="s">
        <v>342</v>
      </c>
      <c r="B92" s="606"/>
      <c r="C92" s="606"/>
      <c r="D92" s="606"/>
      <c r="E92" s="606"/>
      <c r="F92" s="606"/>
      <c r="G92" s="606"/>
      <c r="H92" s="606"/>
      <c r="I92" s="606"/>
      <c r="J92" s="606"/>
    </row>
    <row r="93" spans="1:10" ht="15.75" x14ac:dyDescent="0.25">
      <c r="A93" s="309"/>
      <c r="B93" s="40"/>
      <c r="C93" s="40"/>
      <c r="D93" s="40"/>
      <c r="E93" s="324"/>
      <c r="F93" s="324"/>
      <c r="G93" s="41"/>
      <c r="H93" s="41"/>
      <c r="I93" s="41"/>
      <c r="J93" s="41"/>
    </row>
    <row r="94" spans="1:10" ht="15.75" x14ac:dyDescent="0.25">
      <c r="A94" s="606" t="s">
        <v>304</v>
      </c>
      <c r="B94" s="606"/>
      <c r="C94" s="606"/>
      <c r="D94" s="606"/>
      <c r="E94" s="606"/>
      <c r="F94" s="606"/>
      <c r="G94" s="606"/>
      <c r="H94" s="606"/>
      <c r="I94" s="606"/>
      <c r="J94" s="606"/>
    </row>
    <row r="95" spans="1:10" x14ac:dyDescent="0.25">
      <c r="A95" s="35"/>
      <c r="B95" s="33"/>
      <c r="C95" s="33"/>
      <c r="D95" s="33"/>
      <c r="E95" s="325"/>
      <c r="F95" s="325"/>
    </row>
    <row r="96" spans="1:10" ht="105" x14ac:dyDescent="0.25">
      <c r="A96" s="308" t="s">
        <v>253</v>
      </c>
      <c r="B96" s="416" t="s">
        <v>281</v>
      </c>
      <c r="C96" s="416"/>
      <c r="D96" s="416"/>
      <c r="E96" s="308" t="s">
        <v>305</v>
      </c>
      <c r="F96" s="308" t="s">
        <v>306</v>
      </c>
      <c r="G96" s="31" t="s">
        <v>307</v>
      </c>
    </row>
    <row r="97" spans="1:10" x14ac:dyDescent="0.25">
      <c r="A97" s="308">
        <v>1</v>
      </c>
      <c r="B97" s="416">
        <v>2</v>
      </c>
      <c r="C97" s="416"/>
      <c r="D97" s="416"/>
      <c r="E97" s="308">
        <v>3</v>
      </c>
      <c r="F97" s="308">
        <v>4</v>
      </c>
      <c r="G97" s="31">
        <v>5</v>
      </c>
    </row>
    <row r="98" spans="1:10" x14ac:dyDescent="0.25">
      <c r="A98" s="308">
        <v>1</v>
      </c>
      <c r="B98" s="479" t="s">
        <v>460</v>
      </c>
      <c r="C98" s="480"/>
      <c r="D98" s="496"/>
      <c r="E98" s="319">
        <v>14816638.000000002</v>
      </c>
      <c r="F98" s="320">
        <v>1.5</v>
      </c>
      <c r="G98" s="28">
        <f>E98*F98/100</f>
        <v>222249.57000000004</v>
      </c>
    </row>
    <row r="99" spans="1:10" x14ac:dyDescent="0.25">
      <c r="A99" s="308"/>
      <c r="B99" s="479"/>
      <c r="C99" s="480"/>
      <c r="D99" s="496"/>
      <c r="E99" s="308"/>
      <c r="F99" s="308"/>
      <c r="G99" s="310"/>
    </row>
    <row r="100" spans="1:10" x14ac:dyDescent="0.25">
      <c r="A100" s="308"/>
      <c r="B100" s="441"/>
      <c r="C100" s="441"/>
      <c r="D100" s="441"/>
      <c r="E100" s="308"/>
      <c r="F100" s="308"/>
      <c r="G100" s="28"/>
    </row>
    <row r="101" spans="1:10" ht="15" customHeight="1" x14ac:dyDescent="0.25">
      <c r="A101" s="317"/>
      <c r="B101" s="416" t="s">
        <v>260</v>
      </c>
      <c r="C101" s="416"/>
      <c r="D101" s="416"/>
      <c r="E101" s="308"/>
      <c r="F101" s="308" t="s">
        <v>261</v>
      </c>
      <c r="G101" s="28">
        <f>G98+G100</f>
        <v>222249.57000000004</v>
      </c>
    </row>
    <row r="102" spans="1:10" x14ac:dyDescent="0.25">
      <c r="A102" s="35"/>
      <c r="B102" s="33"/>
      <c r="C102" s="33"/>
      <c r="D102" s="33"/>
      <c r="E102" s="325"/>
      <c r="F102" s="325"/>
    </row>
    <row r="103" spans="1:10" x14ac:dyDescent="0.25">
      <c r="A103" s="35"/>
      <c r="B103" s="33"/>
      <c r="C103" s="33"/>
      <c r="D103" s="33"/>
      <c r="E103" s="325"/>
      <c r="F103" s="325"/>
    </row>
    <row r="104" spans="1:10" s="37" customFormat="1" ht="15.75" x14ac:dyDescent="0.25">
      <c r="A104" s="446" t="s">
        <v>308</v>
      </c>
      <c r="B104" s="446"/>
      <c r="C104" s="446"/>
      <c r="D104" s="446"/>
      <c r="E104" s="446"/>
      <c r="F104" s="446"/>
      <c r="G104" s="446"/>
      <c r="H104" s="446"/>
      <c r="I104" s="446"/>
      <c r="J104" s="446"/>
    </row>
    <row r="105" spans="1:10" s="37" customFormat="1" ht="15.75" x14ac:dyDescent="0.25">
      <c r="A105" s="309"/>
      <c r="E105" s="324"/>
      <c r="F105" s="324"/>
      <c r="G105" s="36"/>
      <c r="H105" s="36"/>
      <c r="I105" s="36"/>
      <c r="J105" s="36"/>
    </row>
    <row r="106" spans="1:10" s="37" customFormat="1" ht="15.75" x14ac:dyDescent="0.25">
      <c r="A106" s="439" t="s">
        <v>341</v>
      </c>
      <c r="B106" s="439"/>
      <c r="C106" s="439"/>
      <c r="D106" s="439"/>
      <c r="E106" s="309"/>
      <c r="F106" s="309"/>
      <c r="G106" s="30"/>
      <c r="H106" s="30"/>
      <c r="I106" s="30"/>
      <c r="J106" s="30"/>
    </row>
    <row r="107" spans="1:10" s="37" customFormat="1" ht="15.75" x14ac:dyDescent="0.25">
      <c r="A107" s="309"/>
      <c r="E107" s="324"/>
      <c r="F107" s="324"/>
      <c r="G107" s="36"/>
      <c r="H107" s="36"/>
      <c r="I107" s="36"/>
      <c r="J107" s="36"/>
    </row>
    <row r="108" spans="1:10" s="37" customFormat="1" ht="15.75" x14ac:dyDescent="0.25">
      <c r="A108" s="439" t="s">
        <v>304</v>
      </c>
      <c r="B108" s="439"/>
      <c r="C108" s="439"/>
      <c r="D108" s="439"/>
      <c r="E108" s="439"/>
      <c r="F108" s="439"/>
      <c r="G108" s="30"/>
      <c r="H108" s="30"/>
      <c r="I108" s="30"/>
      <c r="J108" s="30"/>
    </row>
    <row r="109" spans="1:10" x14ac:dyDescent="0.25">
      <c r="A109" s="35"/>
      <c r="B109" s="33"/>
      <c r="C109" s="33"/>
      <c r="D109" s="33"/>
      <c r="E109" s="325"/>
      <c r="F109" s="325"/>
    </row>
    <row r="110" spans="1:10" ht="60" x14ac:dyDescent="0.25">
      <c r="A110" s="308" t="s">
        <v>253</v>
      </c>
      <c r="B110" s="416" t="s">
        <v>9</v>
      </c>
      <c r="C110" s="416"/>
      <c r="D110" s="416"/>
      <c r="E110" s="308" t="s">
        <v>300</v>
      </c>
      <c r="F110" s="308" t="s">
        <v>301</v>
      </c>
      <c r="G110" s="31" t="s">
        <v>302</v>
      </c>
    </row>
    <row r="111" spans="1:10" x14ac:dyDescent="0.25">
      <c r="A111" s="308">
        <v>1</v>
      </c>
      <c r="B111" s="416">
        <v>2</v>
      </c>
      <c r="C111" s="416"/>
      <c r="D111" s="416"/>
      <c r="E111" s="308">
        <v>3</v>
      </c>
      <c r="F111" s="308">
        <v>4</v>
      </c>
      <c r="G111" s="31">
        <v>5</v>
      </c>
    </row>
    <row r="112" spans="1:10" x14ac:dyDescent="0.25">
      <c r="A112" s="308"/>
      <c r="B112" s="479"/>
      <c r="C112" s="480"/>
      <c r="D112" s="496"/>
      <c r="E112" s="308"/>
      <c r="F112" s="308"/>
      <c r="G112" s="28"/>
    </row>
    <row r="113" spans="1:10" x14ac:dyDescent="0.25">
      <c r="A113" s="308"/>
      <c r="B113" s="441"/>
      <c r="C113" s="441"/>
      <c r="D113" s="441"/>
      <c r="E113" s="308"/>
      <c r="F113" s="308"/>
      <c r="G113" s="28"/>
    </row>
    <row r="114" spans="1:10" ht="15" customHeight="1" x14ac:dyDescent="0.25">
      <c r="A114" s="317"/>
      <c r="B114" s="416" t="s">
        <v>260</v>
      </c>
      <c r="C114" s="416"/>
      <c r="D114" s="416"/>
      <c r="E114" s="308" t="s">
        <v>261</v>
      </c>
      <c r="F114" s="308" t="s">
        <v>261</v>
      </c>
      <c r="G114" s="28">
        <f>G112+G113</f>
        <v>0</v>
      </c>
    </row>
    <row r="115" spans="1:10" x14ac:dyDescent="0.25">
      <c r="A115" s="35"/>
      <c r="B115" s="33"/>
      <c r="C115" s="33"/>
      <c r="D115" s="33"/>
      <c r="E115" s="325"/>
      <c r="F115" s="325"/>
    </row>
    <row r="116" spans="1:10" x14ac:dyDescent="0.25">
      <c r="A116" s="35"/>
      <c r="B116" s="33"/>
      <c r="C116" s="33"/>
      <c r="D116" s="33"/>
      <c r="E116" s="325"/>
      <c r="F116" s="325"/>
    </row>
    <row r="117" spans="1:10" ht="15.75" x14ac:dyDescent="0.25">
      <c r="A117" s="446" t="s">
        <v>309</v>
      </c>
      <c r="B117" s="446"/>
      <c r="C117" s="446"/>
      <c r="D117" s="446"/>
      <c r="E117" s="446"/>
      <c r="F117" s="446"/>
      <c r="G117" s="446"/>
      <c r="H117" s="446"/>
      <c r="I117" s="446"/>
      <c r="J117" s="446"/>
    </row>
    <row r="118" spans="1:10" ht="15.75" x14ac:dyDescent="0.25">
      <c r="A118" s="309"/>
      <c r="B118" s="38"/>
      <c r="C118" s="38"/>
      <c r="D118" s="38"/>
      <c r="E118" s="324"/>
      <c r="F118" s="324"/>
      <c r="G118" s="39"/>
      <c r="H118" s="39"/>
      <c r="I118" s="39"/>
      <c r="J118" s="39"/>
    </row>
    <row r="119" spans="1:10" ht="15.75" x14ac:dyDescent="0.25">
      <c r="A119" s="439" t="s">
        <v>343</v>
      </c>
      <c r="B119" s="439"/>
      <c r="C119" s="439"/>
      <c r="D119" s="439"/>
      <c r="E119" s="439"/>
      <c r="F119" s="439"/>
      <c r="G119" s="439"/>
      <c r="H119" s="439"/>
      <c r="I119" s="439"/>
      <c r="J119" s="439"/>
    </row>
    <row r="120" spans="1:10" ht="15.75" x14ac:dyDescent="0.25">
      <c r="A120" s="309"/>
      <c r="B120" s="38"/>
      <c r="C120" s="38"/>
      <c r="D120" s="38"/>
      <c r="E120" s="324"/>
      <c r="F120" s="324"/>
      <c r="G120" s="39"/>
      <c r="H120" s="39"/>
      <c r="I120" s="39"/>
      <c r="J120" s="39"/>
    </row>
    <row r="121" spans="1:10" ht="15.75" x14ac:dyDescent="0.25">
      <c r="A121" s="439" t="s">
        <v>304</v>
      </c>
      <c r="B121" s="439"/>
      <c r="C121" s="439"/>
      <c r="D121" s="439"/>
      <c r="E121" s="439"/>
      <c r="F121" s="439"/>
      <c r="G121" s="439"/>
      <c r="H121" s="439"/>
      <c r="I121" s="439"/>
      <c r="J121" s="439"/>
    </row>
    <row r="122" spans="1:10" x14ac:dyDescent="0.25">
      <c r="A122" s="35"/>
      <c r="B122" s="33"/>
      <c r="C122" s="33"/>
      <c r="D122" s="33"/>
      <c r="E122" s="325"/>
      <c r="F122" s="325"/>
    </row>
    <row r="123" spans="1:10" ht="60" x14ac:dyDescent="0.25">
      <c r="A123" s="308" t="s">
        <v>253</v>
      </c>
      <c r="B123" s="416" t="s">
        <v>9</v>
      </c>
      <c r="C123" s="416"/>
      <c r="D123" s="416"/>
      <c r="E123" s="308" t="s">
        <v>300</v>
      </c>
      <c r="F123" s="308" t="s">
        <v>301</v>
      </c>
      <c r="G123" s="31" t="s">
        <v>302</v>
      </c>
    </row>
    <row r="124" spans="1:10" x14ac:dyDescent="0.25">
      <c r="A124" s="308">
        <v>1</v>
      </c>
      <c r="B124" s="416">
        <v>2</v>
      </c>
      <c r="C124" s="416"/>
      <c r="D124" s="416"/>
      <c r="E124" s="308">
        <v>3</v>
      </c>
      <c r="F124" s="308">
        <v>4</v>
      </c>
      <c r="G124" s="31">
        <v>5</v>
      </c>
    </row>
    <row r="125" spans="1:10" x14ac:dyDescent="0.25">
      <c r="A125" s="308"/>
      <c r="B125" s="479"/>
      <c r="C125" s="480"/>
      <c r="D125" s="496"/>
      <c r="E125" s="308"/>
      <c r="F125" s="308"/>
      <c r="G125" s="28"/>
    </row>
    <row r="126" spans="1:10" x14ac:dyDescent="0.25">
      <c r="A126" s="308"/>
      <c r="B126" s="441"/>
      <c r="C126" s="441"/>
      <c r="D126" s="441"/>
      <c r="E126" s="308"/>
      <c r="F126" s="308"/>
      <c r="G126" s="28"/>
    </row>
    <row r="127" spans="1:10" ht="15.75" customHeight="1" x14ac:dyDescent="0.25">
      <c r="A127" s="317"/>
      <c r="B127" s="416" t="s">
        <v>260</v>
      </c>
      <c r="C127" s="416"/>
      <c r="D127" s="416"/>
      <c r="E127" s="308" t="s">
        <v>261</v>
      </c>
      <c r="F127" s="308" t="s">
        <v>261</v>
      </c>
      <c r="G127" s="28">
        <f>G125+G126</f>
        <v>0</v>
      </c>
    </row>
    <row r="128" spans="1:10" x14ac:dyDescent="0.25">
      <c r="A128" s="35"/>
      <c r="B128" s="33"/>
      <c r="C128" s="33"/>
      <c r="D128" s="33"/>
      <c r="E128" s="325"/>
      <c r="F128" s="325"/>
    </row>
    <row r="129" spans="1:10" x14ac:dyDescent="0.25">
      <c r="A129" s="35"/>
      <c r="B129" s="33"/>
      <c r="C129" s="33"/>
      <c r="D129" s="33"/>
      <c r="E129" s="325"/>
      <c r="F129" s="325"/>
    </row>
    <row r="130" spans="1:10" ht="15.75" x14ac:dyDescent="0.25">
      <c r="A130" s="446" t="s">
        <v>310</v>
      </c>
      <c r="B130" s="446"/>
      <c r="C130" s="446"/>
      <c r="D130" s="446"/>
      <c r="E130" s="446"/>
      <c r="F130" s="446"/>
      <c r="G130" s="446"/>
      <c r="H130" s="446"/>
      <c r="I130" s="446"/>
      <c r="J130" s="446"/>
    </row>
    <row r="131" spans="1:10" ht="15.75" x14ac:dyDescent="0.25">
      <c r="A131" s="309"/>
      <c r="B131" s="38"/>
      <c r="C131" s="38"/>
      <c r="D131" s="38"/>
      <c r="E131" s="324"/>
      <c r="F131" s="324"/>
      <c r="G131" s="39"/>
      <c r="H131" s="39"/>
      <c r="I131" s="39"/>
      <c r="J131" s="39"/>
    </row>
    <row r="132" spans="1:10" ht="15.75" x14ac:dyDescent="0.25">
      <c r="A132" s="439" t="s">
        <v>595</v>
      </c>
      <c r="B132" s="439"/>
      <c r="C132" s="439"/>
      <c r="D132" s="439"/>
      <c r="E132" s="439"/>
      <c r="F132" s="439"/>
      <c r="G132" s="439"/>
      <c r="H132" s="439"/>
      <c r="I132" s="439"/>
      <c r="J132" s="439"/>
    </row>
    <row r="133" spans="1:10" ht="15.75" x14ac:dyDescent="0.25">
      <c r="A133" s="309"/>
      <c r="B133" s="38"/>
      <c r="C133" s="38"/>
      <c r="D133" s="38"/>
      <c r="E133" s="324"/>
      <c r="F133" s="324"/>
      <c r="G133" s="39"/>
      <c r="H133" s="39"/>
      <c r="I133" s="39"/>
      <c r="J133" s="39"/>
    </row>
    <row r="134" spans="1:10" ht="15.75" x14ac:dyDescent="0.25">
      <c r="A134" s="439" t="s">
        <v>304</v>
      </c>
      <c r="B134" s="439"/>
      <c r="C134" s="439"/>
      <c r="D134" s="439"/>
      <c r="E134" s="439"/>
      <c r="F134" s="439"/>
      <c r="G134" s="439"/>
      <c r="H134" s="439"/>
      <c r="I134" s="439"/>
      <c r="J134" s="439"/>
    </row>
    <row r="135" spans="1:10" ht="15.75" x14ac:dyDescent="0.25">
      <c r="A135" s="309"/>
      <c r="B135" s="38"/>
      <c r="C135" s="38"/>
      <c r="D135" s="38"/>
      <c r="E135" s="324"/>
      <c r="F135" s="324"/>
      <c r="G135" s="39"/>
      <c r="H135" s="39"/>
      <c r="I135" s="39"/>
      <c r="J135" s="39"/>
    </row>
    <row r="136" spans="1:10" ht="15.75" x14ac:dyDescent="0.25">
      <c r="A136" s="446" t="s">
        <v>311</v>
      </c>
      <c r="B136" s="446"/>
      <c r="C136" s="446"/>
      <c r="D136" s="446"/>
      <c r="E136" s="446"/>
      <c r="F136" s="446"/>
      <c r="G136" s="446"/>
      <c r="H136" s="446"/>
      <c r="I136" s="446"/>
      <c r="J136" s="446"/>
    </row>
    <row r="137" spans="1:10" x14ac:dyDescent="0.25">
      <c r="A137" s="35"/>
      <c r="B137" s="33"/>
      <c r="C137" s="33"/>
      <c r="D137" s="33"/>
      <c r="E137" s="325"/>
      <c r="F137" s="325"/>
    </row>
    <row r="138" spans="1:10" ht="45" x14ac:dyDescent="0.25">
      <c r="A138" s="308" t="s">
        <v>253</v>
      </c>
      <c r="B138" s="596" t="s">
        <v>281</v>
      </c>
      <c r="C138" s="607"/>
      <c r="D138" s="462"/>
      <c r="E138" s="308" t="s">
        <v>312</v>
      </c>
      <c r="F138" s="308" t="s">
        <v>313</v>
      </c>
      <c r="G138" s="31" t="s">
        <v>314</v>
      </c>
      <c r="H138" s="31" t="s">
        <v>285</v>
      </c>
    </row>
    <row r="139" spans="1:10" x14ac:dyDescent="0.25">
      <c r="A139" s="308">
        <v>1</v>
      </c>
      <c r="B139" s="416">
        <v>2</v>
      </c>
      <c r="C139" s="416"/>
      <c r="D139" s="416"/>
      <c r="E139" s="308">
        <v>3</v>
      </c>
      <c r="F139" s="308">
        <v>4</v>
      </c>
      <c r="G139" s="31">
        <v>5</v>
      </c>
      <c r="H139" s="31">
        <v>6</v>
      </c>
    </row>
    <row r="140" spans="1:10" x14ac:dyDescent="0.25">
      <c r="A140" s="308">
        <v>1</v>
      </c>
      <c r="B140" s="441" t="s">
        <v>711</v>
      </c>
      <c r="C140" s="441"/>
      <c r="D140" s="441"/>
      <c r="E140" s="308">
        <v>1</v>
      </c>
      <c r="F140" s="308">
        <v>12</v>
      </c>
      <c r="G140" s="342">
        <v>416.66666666666669</v>
      </c>
      <c r="H140" s="28">
        <v>5000</v>
      </c>
    </row>
    <row r="141" spans="1:10" x14ac:dyDescent="0.25">
      <c r="A141" s="308"/>
      <c r="B141" s="416"/>
      <c r="C141" s="416"/>
      <c r="D141" s="416"/>
      <c r="E141" s="308"/>
      <c r="F141" s="308"/>
      <c r="G141" s="21"/>
      <c r="H141" s="28"/>
    </row>
    <row r="142" spans="1:10" ht="15" customHeight="1" x14ac:dyDescent="0.25">
      <c r="A142" s="317"/>
      <c r="B142" s="416" t="s">
        <v>260</v>
      </c>
      <c r="C142" s="416"/>
      <c r="D142" s="416"/>
      <c r="E142" s="308" t="s">
        <v>261</v>
      </c>
      <c r="F142" s="308" t="s">
        <v>261</v>
      </c>
      <c r="G142" s="31" t="s">
        <v>261</v>
      </c>
      <c r="H142" s="28">
        <f>H140+H141</f>
        <v>5000</v>
      </c>
    </row>
    <row r="143" spans="1:10" x14ac:dyDescent="0.25">
      <c r="A143" s="35"/>
      <c r="B143" s="33"/>
      <c r="C143" s="33"/>
      <c r="D143" s="33"/>
      <c r="E143" s="325"/>
      <c r="F143" s="325"/>
    </row>
    <row r="144" spans="1:10" x14ac:dyDescent="0.25">
      <c r="A144" s="35"/>
      <c r="B144" s="33"/>
      <c r="C144" s="33"/>
      <c r="D144" s="33"/>
      <c r="E144" s="325"/>
      <c r="F144" s="325"/>
    </row>
    <row r="145" spans="1:10" x14ac:dyDescent="0.25">
      <c r="A145" s="35"/>
      <c r="B145" s="33"/>
      <c r="C145" s="33"/>
      <c r="D145" s="33"/>
      <c r="E145" s="325"/>
      <c r="F145" s="325"/>
    </row>
    <row r="146" spans="1:10" ht="15.75" x14ac:dyDescent="0.25">
      <c r="A146" s="446" t="s">
        <v>315</v>
      </c>
      <c r="B146" s="446"/>
      <c r="C146" s="446"/>
      <c r="D146" s="446"/>
      <c r="E146" s="446"/>
      <c r="F146" s="446"/>
      <c r="G146" s="446"/>
      <c r="H146" s="446"/>
      <c r="I146" s="446"/>
      <c r="J146" s="446"/>
    </row>
    <row r="147" spans="1:10" x14ac:dyDescent="0.25">
      <c r="A147" s="35"/>
      <c r="B147" s="33"/>
      <c r="C147" s="33"/>
      <c r="D147" s="33"/>
      <c r="E147" s="325"/>
      <c r="F147" s="325"/>
    </row>
    <row r="148" spans="1:10" ht="45" x14ac:dyDescent="0.25">
      <c r="A148" s="390" t="s">
        <v>253</v>
      </c>
      <c r="B148" s="416" t="s">
        <v>281</v>
      </c>
      <c r="C148" s="416"/>
      <c r="D148" s="416"/>
      <c r="E148" s="390" t="s">
        <v>316</v>
      </c>
      <c r="F148" s="390" t="s">
        <v>317</v>
      </c>
      <c r="G148" s="390" t="s">
        <v>318</v>
      </c>
    </row>
    <row r="149" spans="1:10" x14ac:dyDescent="0.25">
      <c r="A149" s="390">
        <v>1</v>
      </c>
      <c r="B149" s="416">
        <v>2</v>
      </c>
      <c r="C149" s="416"/>
      <c r="D149" s="416"/>
      <c r="E149" s="390">
        <v>3</v>
      </c>
      <c r="F149" s="390">
        <v>4</v>
      </c>
      <c r="G149" s="390">
        <v>5</v>
      </c>
    </row>
    <row r="150" spans="1:10" x14ac:dyDescent="0.25">
      <c r="A150" s="390">
        <v>1</v>
      </c>
      <c r="B150" s="479" t="s">
        <v>712</v>
      </c>
      <c r="C150" s="480"/>
      <c r="D150" s="496"/>
      <c r="E150" s="390">
        <v>1</v>
      </c>
      <c r="F150" s="391">
        <v>1300</v>
      </c>
      <c r="G150" s="391">
        <f>2000-G151</f>
        <v>1300</v>
      </c>
    </row>
    <row r="151" spans="1:10" ht="33" customHeight="1" x14ac:dyDescent="0.25">
      <c r="A151" s="390">
        <v>2</v>
      </c>
      <c r="B151" s="441" t="s">
        <v>801</v>
      </c>
      <c r="C151" s="441"/>
      <c r="D151" s="441"/>
      <c r="E151" s="390">
        <v>1</v>
      </c>
      <c r="F151" s="391">
        <v>700</v>
      </c>
      <c r="G151" s="391">
        <v>700</v>
      </c>
    </row>
    <row r="152" spans="1:10" ht="15" customHeight="1" x14ac:dyDescent="0.25">
      <c r="A152" s="317"/>
      <c r="B152" s="416" t="s">
        <v>260</v>
      </c>
      <c r="C152" s="416"/>
      <c r="D152" s="416"/>
      <c r="E152" s="390" t="s">
        <v>802</v>
      </c>
      <c r="F152" s="390" t="s">
        <v>802</v>
      </c>
      <c r="G152" s="391">
        <f>G150+G151</f>
        <v>2000</v>
      </c>
    </row>
    <row r="153" spans="1:10" x14ac:dyDescent="0.25">
      <c r="A153" s="35"/>
      <c r="B153" s="33"/>
      <c r="C153" s="33"/>
      <c r="D153" s="33"/>
      <c r="E153" s="325"/>
      <c r="F153" s="325"/>
    </row>
    <row r="154" spans="1:10" x14ac:dyDescent="0.25">
      <c r="A154" s="35"/>
      <c r="B154" s="33"/>
      <c r="C154" s="33"/>
      <c r="D154" s="33"/>
      <c r="E154" s="325"/>
      <c r="F154" s="325"/>
    </row>
    <row r="155" spans="1:10" x14ac:dyDescent="0.25">
      <c r="A155" s="35"/>
      <c r="B155" s="33"/>
      <c r="C155" s="33"/>
      <c r="D155" s="33"/>
      <c r="E155" s="325"/>
      <c r="F155" s="325"/>
    </row>
    <row r="156" spans="1:10" ht="15.75" x14ac:dyDescent="0.25">
      <c r="A156" s="446" t="s">
        <v>596</v>
      </c>
      <c r="B156" s="446"/>
      <c r="C156" s="446"/>
      <c r="D156" s="446"/>
      <c r="E156" s="446"/>
      <c r="F156" s="446"/>
      <c r="G156" s="446"/>
      <c r="H156" s="446"/>
      <c r="I156" s="446"/>
      <c r="J156" s="446"/>
    </row>
    <row r="157" spans="1:10" x14ac:dyDescent="0.25">
      <c r="A157" s="35"/>
      <c r="B157" s="33"/>
      <c r="C157" s="33"/>
      <c r="D157" s="33"/>
      <c r="E157" s="325"/>
      <c r="F157" s="325"/>
    </row>
    <row r="158" spans="1:10" ht="45" x14ac:dyDescent="0.25">
      <c r="A158" s="308" t="s">
        <v>253</v>
      </c>
      <c r="B158" s="416" t="s">
        <v>9</v>
      </c>
      <c r="C158" s="416"/>
      <c r="D158" s="416"/>
      <c r="E158" s="308" t="s">
        <v>319</v>
      </c>
      <c r="F158" s="308" t="s">
        <v>320</v>
      </c>
      <c r="G158" s="31" t="s">
        <v>321</v>
      </c>
      <c r="H158" s="31" t="s">
        <v>285</v>
      </c>
    </row>
    <row r="159" spans="1:10" x14ac:dyDescent="0.25">
      <c r="A159" s="308">
        <v>1</v>
      </c>
      <c r="B159" s="416">
        <v>2</v>
      </c>
      <c r="C159" s="416"/>
      <c r="D159" s="416"/>
      <c r="E159" s="308">
        <v>3</v>
      </c>
      <c r="F159" s="308">
        <v>4</v>
      </c>
      <c r="G159" s="31">
        <v>5</v>
      </c>
      <c r="H159" s="31">
        <v>6</v>
      </c>
    </row>
    <row r="160" spans="1:10" x14ac:dyDescent="0.25">
      <c r="A160" s="308">
        <v>1</v>
      </c>
      <c r="B160" s="479" t="s">
        <v>713</v>
      </c>
      <c r="C160" s="480"/>
      <c r="D160" s="496"/>
      <c r="E160" s="364">
        <v>6577.5207054369921</v>
      </c>
      <c r="F160" s="308">
        <v>76.81</v>
      </c>
      <c r="G160" s="362">
        <v>1.04</v>
      </c>
      <c r="H160" s="28">
        <f>E160*F160*G160</f>
        <v>525428.14</v>
      </c>
    </row>
    <row r="161" spans="1:11" x14ac:dyDescent="0.25">
      <c r="A161" s="308"/>
      <c r="B161" s="441"/>
      <c r="C161" s="441"/>
      <c r="D161" s="441"/>
      <c r="E161" s="308"/>
      <c r="F161" s="308"/>
      <c r="G161" s="21"/>
      <c r="H161" s="28"/>
    </row>
    <row r="162" spans="1:11" ht="15" customHeight="1" x14ac:dyDescent="0.25">
      <c r="A162" s="317"/>
      <c r="B162" s="416" t="s">
        <v>260</v>
      </c>
      <c r="C162" s="416"/>
      <c r="D162" s="416"/>
      <c r="E162" s="308" t="s">
        <v>261</v>
      </c>
      <c r="F162" s="308" t="s">
        <v>261</v>
      </c>
      <c r="G162" s="31" t="s">
        <v>261</v>
      </c>
      <c r="H162" s="28">
        <f>H160+H161</f>
        <v>525428.14</v>
      </c>
    </row>
    <row r="163" spans="1:11" x14ac:dyDescent="0.25">
      <c r="A163" s="35"/>
      <c r="B163" s="33"/>
      <c r="C163" s="33"/>
      <c r="D163" s="33"/>
      <c r="E163" s="325"/>
      <c r="F163" s="325"/>
    </row>
    <row r="164" spans="1:11" x14ac:dyDescent="0.25">
      <c r="A164" s="35"/>
      <c r="B164" s="33"/>
      <c r="C164" s="33"/>
      <c r="D164" s="33"/>
      <c r="E164" s="325"/>
      <c r="F164" s="325"/>
    </row>
    <row r="165" spans="1:11" ht="15.75" x14ac:dyDescent="0.25">
      <c r="A165" s="446" t="s">
        <v>322</v>
      </c>
      <c r="B165" s="446"/>
      <c r="C165" s="446"/>
      <c r="D165" s="446"/>
      <c r="E165" s="446"/>
      <c r="F165" s="446"/>
      <c r="G165" s="446"/>
      <c r="H165" s="446"/>
      <c r="I165" s="446"/>
      <c r="J165" s="446"/>
    </row>
    <row r="166" spans="1:11" x14ac:dyDescent="0.25">
      <c r="A166" s="35"/>
      <c r="B166" s="33"/>
      <c r="C166" s="33"/>
      <c r="D166" s="33"/>
      <c r="E166" s="325"/>
      <c r="F166" s="325"/>
    </row>
    <row r="167" spans="1:11" ht="45" x14ac:dyDescent="0.25">
      <c r="A167" s="308" t="s">
        <v>253</v>
      </c>
      <c r="B167" s="596" t="s">
        <v>9</v>
      </c>
      <c r="C167" s="607"/>
      <c r="D167" s="462"/>
      <c r="E167" s="308" t="s">
        <v>323</v>
      </c>
      <c r="F167" s="308" t="s">
        <v>324</v>
      </c>
      <c r="G167" s="31" t="s">
        <v>325</v>
      </c>
    </row>
    <row r="168" spans="1:11" x14ac:dyDescent="0.25">
      <c r="A168" s="308">
        <v>1</v>
      </c>
      <c r="B168" s="596">
        <v>2</v>
      </c>
      <c r="C168" s="607"/>
      <c r="D168" s="462"/>
      <c r="E168" s="308">
        <v>3</v>
      </c>
      <c r="F168" s="308">
        <v>4</v>
      </c>
      <c r="G168" s="31">
        <v>5</v>
      </c>
    </row>
    <row r="169" spans="1:11" x14ac:dyDescent="0.25">
      <c r="A169" s="308"/>
      <c r="B169" s="479"/>
      <c r="C169" s="480"/>
      <c r="D169" s="496"/>
      <c r="E169" s="308"/>
      <c r="F169" s="308"/>
      <c r="G169" s="28"/>
    </row>
    <row r="170" spans="1:11" x14ac:dyDescent="0.25">
      <c r="A170" s="308"/>
      <c r="B170" s="441"/>
      <c r="C170" s="441"/>
      <c r="D170" s="441"/>
      <c r="E170" s="308"/>
      <c r="F170" s="308"/>
      <c r="G170" s="28"/>
    </row>
    <row r="171" spans="1:11" ht="15" customHeight="1" x14ac:dyDescent="0.25">
      <c r="A171" s="317"/>
      <c r="B171" s="416" t="s">
        <v>260</v>
      </c>
      <c r="C171" s="416"/>
      <c r="D171" s="416"/>
      <c r="E171" s="308" t="s">
        <v>261</v>
      </c>
      <c r="F171" s="308" t="s">
        <v>261</v>
      </c>
      <c r="G171" s="28">
        <f>G169+G170</f>
        <v>0</v>
      </c>
    </row>
    <row r="172" spans="1:11" x14ac:dyDescent="0.25">
      <c r="A172" s="35"/>
      <c r="B172" s="33"/>
      <c r="C172" s="33"/>
      <c r="D172" s="33"/>
      <c r="E172" s="325"/>
      <c r="F172" s="325"/>
    </row>
    <row r="173" spans="1:11" x14ac:dyDescent="0.25">
      <c r="A173" s="505" t="s">
        <v>326</v>
      </c>
      <c r="B173" s="505"/>
      <c r="C173" s="505"/>
      <c r="D173" s="505"/>
      <c r="E173" s="505"/>
      <c r="F173" s="505"/>
      <c r="G173" s="505"/>
      <c r="H173" s="505"/>
      <c r="I173" s="505"/>
      <c r="J173" s="505"/>
    </row>
    <row r="174" spans="1:11" x14ac:dyDescent="0.25">
      <c r="A174" s="35"/>
      <c r="B174" s="33"/>
      <c r="C174" s="33"/>
      <c r="D174" s="33"/>
      <c r="E174" s="325"/>
      <c r="F174" s="325"/>
    </row>
    <row r="175" spans="1:11" ht="45" x14ac:dyDescent="0.25">
      <c r="A175" s="308" t="s">
        <v>253</v>
      </c>
      <c r="B175" s="596" t="s">
        <v>9</v>
      </c>
      <c r="C175" s="607"/>
      <c r="D175" s="462"/>
      <c r="E175" s="308" t="s">
        <v>327</v>
      </c>
      <c r="F175" s="308" t="s">
        <v>328</v>
      </c>
      <c r="G175" s="31" t="s">
        <v>329</v>
      </c>
      <c r="K175" t="s">
        <v>799</v>
      </c>
    </row>
    <row r="176" spans="1:11" x14ac:dyDescent="0.25">
      <c r="A176" s="308">
        <v>1</v>
      </c>
      <c r="B176" s="596">
        <v>2</v>
      </c>
      <c r="C176" s="607"/>
      <c r="D176" s="462"/>
      <c r="E176" s="308">
        <v>3</v>
      </c>
      <c r="F176" s="308">
        <v>4</v>
      </c>
      <c r="G176" s="31">
        <v>5</v>
      </c>
    </row>
    <row r="177" spans="1:11" x14ac:dyDescent="0.25">
      <c r="A177" s="308">
        <v>1</v>
      </c>
      <c r="B177" s="479" t="s">
        <v>715</v>
      </c>
      <c r="C177" s="480"/>
      <c r="D177" s="496"/>
      <c r="E177" s="308">
        <v>2</v>
      </c>
      <c r="F177" s="308">
        <v>12</v>
      </c>
      <c r="G177" s="28">
        <v>1000</v>
      </c>
    </row>
    <row r="178" spans="1:11" x14ac:dyDescent="0.25">
      <c r="A178" s="343">
        <v>2</v>
      </c>
      <c r="B178" s="479" t="s">
        <v>732</v>
      </c>
      <c r="C178" s="480"/>
      <c r="D178" s="496"/>
      <c r="E178" s="363">
        <v>2</v>
      </c>
      <c r="F178" s="343">
        <v>12</v>
      </c>
      <c r="G178" s="344">
        <v>10510.2</v>
      </c>
    </row>
    <row r="179" spans="1:11" x14ac:dyDescent="0.25">
      <c r="A179" s="308">
        <v>3</v>
      </c>
      <c r="B179" s="441" t="s">
        <v>794</v>
      </c>
      <c r="C179" s="441"/>
      <c r="D179" s="441"/>
      <c r="E179" s="363">
        <v>2</v>
      </c>
      <c r="F179" s="308">
        <v>12</v>
      </c>
      <c r="G179" s="28">
        <v>45300</v>
      </c>
    </row>
    <row r="180" spans="1:11" x14ac:dyDescent="0.25">
      <c r="A180" s="360">
        <v>4</v>
      </c>
      <c r="B180" s="479" t="s">
        <v>795</v>
      </c>
      <c r="C180" s="480"/>
      <c r="D180" s="496"/>
      <c r="E180" s="363">
        <v>2</v>
      </c>
      <c r="F180" s="360">
        <v>12</v>
      </c>
      <c r="G180" s="361">
        <v>8500</v>
      </c>
    </row>
    <row r="181" spans="1:11" x14ac:dyDescent="0.25">
      <c r="A181" s="360">
        <v>5</v>
      </c>
      <c r="B181" s="479" t="s">
        <v>796</v>
      </c>
      <c r="C181" s="480"/>
      <c r="D181" s="496"/>
      <c r="E181" s="363">
        <v>2</v>
      </c>
      <c r="F181" s="360">
        <v>1</v>
      </c>
      <c r="G181" s="361">
        <f>220883.31+11510.2</f>
        <v>232393.51</v>
      </c>
    </row>
    <row r="182" spans="1:11" ht="15" customHeight="1" x14ac:dyDescent="0.25">
      <c r="A182" s="317"/>
      <c r="B182" s="416" t="s">
        <v>260</v>
      </c>
      <c r="C182" s="416"/>
      <c r="D182" s="416"/>
      <c r="E182" s="308" t="s">
        <v>261</v>
      </c>
      <c r="F182" s="308" t="s">
        <v>261</v>
      </c>
      <c r="G182" s="28">
        <f>SUM(G177:G181)</f>
        <v>297703.71000000002</v>
      </c>
    </row>
    <row r="183" spans="1:11" x14ac:dyDescent="0.25">
      <c r="A183" s="35"/>
      <c r="B183" s="33"/>
      <c r="C183" s="33"/>
      <c r="D183" s="33"/>
      <c r="E183" s="325"/>
      <c r="F183" s="325"/>
    </row>
    <row r="184" spans="1:11" x14ac:dyDescent="0.25">
      <c r="A184" s="35"/>
      <c r="B184" s="33"/>
      <c r="C184" s="33"/>
      <c r="D184" s="33"/>
      <c r="E184" s="325"/>
      <c r="F184" s="325"/>
    </row>
    <row r="185" spans="1:11" x14ac:dyDescent="0.25">
      <c r="A185" s="35"/>
      <c r="B185" s="33"/>
      <c r="C185" s="33"/>
      <c r="D185" s="33"/>
      <c r="E185" s="325"/>
      <c r="F185" s="325"/>
    </row>
    <row r="186" spans="1:11" x14ac:dyDescent="0.25">
      <c r="A186" s="505" t="s">
        <v>275</v>
      </c>
      <c r="B186" s="505"/>
      <c r="C186" s="505"/>
      <c r="D186" s="505"/>
      <c r="E186" s="505"/>
      <c r="F186" s="505"/>
      <c r="G186" s="505"/>
      <c r="H186" s="505"/>
      <c r="I186" s="505"/>
      <c r="J186" s="505"/>
    </row>
    <row r="187" spans="1:11" x14ac:dyDescent="0.25">
      <c r="A187" s="35"/>
      <c r="B187" s="33"/>
      <c r="C187" s="33"/>
      <c r="D187" s="33"/>
      <c r="E187" s="325"/>
      <c r="F187" s="325"/>
    </row>
    <row r="188" spans="1:11" ht="30" x14ac:dyDescent="0.25">
      <c r="A188" s="308" t="s">
        <v>253</v>
      </c>
      <c r="B188" s="596" t="s">
        <v>9</v>
      </c>
      <c r="C188" s="607"/>
      <c r="D188" s="462"/>
      <c r="E188" s="308" t="s">
        <v>276</v>
      </c>
      <c r="F188" s="308" t="s">
        <v>277</v>
      </c>
      <c r="K188" t="s">
        <v>799</v>
      </c>
    </row>
    <row r="189" spans="1:11" x14ac:dyDescent="0.25">
      <c r="A189" s="308">
        <v>1</v>
      </c>
      <c r="B189" s="596">
        <v>2</v>
      </c>
      <c r="C189" s="607"/>
      <c r="D189" s="462"/>
      <c r="E189" s="308">
        <v>3</v>
      </c>
      <c r="F189" s="308">
        <v>4</v>
      </c>
    </row>
    <row r="190" spans="1:11" x14ac:dyDescent="0.25">
      <c r="A190" s="308">
        <v>1</v>
      </c>
      <c r="B190" s="479" t="s">
        <v>716</v>
      </c>
      <c r="C190" s="480"/>
      <c r="D190" s="496"/>
      <c r="E190" s="308">
        <v>4</v>
      </c>
      <c r="F190" s="310">
        <v>944000</v>
      </c>
    </row>
    <row r="191" spans="1:11" x14ac:dyDescent="0.25">
      <c r="A191" s="308">
        <v>2</v>
      </c>
      <c r="B191" s="479" t="s">
        <v>717</v>
      </c>
      <c r="C191" s="480"/>
      <c r="D191" s="496"/>
      <c r="E191" s="308">
        <v>1</v>
      </c>
      <c r="F191" s="310">
        <f>6239152.4+76035.4</f>
        <v>6315187.8000000007</v>
      </c>
    </row>
    <row r="192" spans="1:11" x14ac:dyDescent="0.25">
      <c r="A192" s="308">
        <v>3</v>
      </c>
      <c r="B192" s="441" t="s">
        <v>718</v>
      </c>
      <c r="C192" s="441"/>
      <c r="D192" s="441"/>
      <c r="E192" s="308">
        <v>5</v>
      </c>
      <c r="F192" s="310">
        <v>15000</v>
      </c>
    </row>
    <row r="193" spans="1:11" x14ac:dyDescent="0.25">
      <c r="A193" s="308">
        <v>4</v>
      </c>
      <c r="B193" s="479" t="s">
        <v>719</v>
      </c>
      <c r="C193" s="480"/>
      <c r="D193" s="496"/>
      <c r="E193" s="308">
        <v>1</v>
      </c>
      <c r="F193" s="310">
        <v>42000</v>
      </c>
    </row>
    <row r="194" spans="1:11" x14ac:dyDescent="0.25">
      <c r="A194" s="308">
        <v>5</v>
      </c>
      <c r="B194" s="479" t="s">
        <v>797</v>
      </c>
      <c r="C194" s="480"/>
      <c r="D194" s="496"/>
      <c r="E194" s="308">
        <v>2</v>
      </c>
      <c r="F194" s="310">
        <v>3000</v>
      </c>
    </row>
    <row r="195" spans="1:11" x14ac:dyDescent="0.25">
      <c r="A195" s="360">
        <v>6</v>
      </c>
      <c r="B195" s="479" t="s">
        <v>798</v>
      </c>
      <c r="C195" s="480"/>
      <c r="D195" s="496"/>
      <c r="E195" s="360">
        <v>1</v>
      </c>
      <c r="F195" s="361">
        <v>56900.21</v>
      </c>
    </row>
    <row r="196" spans="1:11" ht="15" customHeight="1" x14ac:dyDescent="0.25">
      <c r="A196" s="317"/>
      <c r="B196" s="416" t="s">
        <v>260</v>
      </c>
      <c r="C196" s="416"/>
      <c r="D196" s="416"/>
      <c r="E196" s="308" t="s">
        <v>261</v>
      </c>
      <c r="F196" s="310">
        <f>SUM(F190:F195)</f>
        <v>7376088.0100000007</v>
      </c>
    </row>
    <row r="197" spans="1:11" x14ac:dyDescent="0.25">
      <c r="A197" s="35"/>
      <c r="B197" s="33"/>
      <c r="C197" s="33"/>
      <c r="D197" s="33"/>
      <c r="E197" s="325"/>
      <c r="F197" s="325"/>
    </row>
    <row r="198" spans="1:11" x14ac:dyDescent="0.25">
      <c r="A198" s="35"/>
      <c r="B198" s="33"/>
      <c r="C198" s="33"/>
      <c r="D198" s="33"/>
      <c r="E198" s="325"/>
      <c r="F198" s="325"/>
    </row>
    <row r="199" spans="1:11" ht="15.75" x14ac:dyDescent="0.25">
      <c r="A199" s="446" t="s">
        <v>330</v>
      </c>
      <c r="B199" s="446"/>
      <c r="C199" s="446"/>
      <c r="D199" s="446"/>
      <c r="E199" s="446"/>
      <c r="F199" s="446"/>
      <c r="G199" s="446"/>
      <c r="H199" s="446"/>
      <c r="I199" s="446"/>
      <c r="J199" s="446"/>
    </row>
    <row r="200" spans="1:11" x14ac:dyDescent="0.25">
      <c r="A200" s="35"/>
      <c r="B200" s="33"/>
      <c r="C200" s="33"/>
      <c r="D200" s="33"/>
      <c r="E200" s="325"/>
      <c r="F200" s="325"/>
    </row>
    <row r="201" spans="1:11" ht="60" x14ac:dyDescent="0.25">
      <c r="A201" s="308" t="s">
        <v>253</v>
      </c>
      <c r="B201" s="416" t="s">
        <v>281</v>
      </c>
      <c r="C201" s="416"/>
      <c r="D201" s="416"/>
      <c r="E201" s="308" t="s">
        <v>323</v>
      </c>
      <c r="F201" s="308" t="s">
        <v>331</v>
      </c>
      <c r="G201" s="31" t="s">
        <v>332</v>
      </c>
      <c r="K201" t="s">
        <v>799</v>
      </c>
    </row>
    <row r="202" spans="1:11" x14ac:dyDescent="0.25">
      <c r="A202" s="308">
        <v>1</v>
      </c>
      <c r="B202" s="416">
        <v>2</v>
      </c>
      <c r="C202" s="416"/>
      <c r="D202" s="416"/>
      <c r="E202" s="308">
        <v>3</v>
      </c>
      <c r="F202" s="308">
        <v>4</v>
      </c>
      <c r="G202" s="31">
        <v>5</v>
      </c>
    </row>
    <row r="203" spans="1:11" x14ac:dyDescent="0.25">
      <c r="A203" s="308">
        <v>1</v>
      </c>
      <c r="B203" s="479" t="s">
        <v>720</v>
      </c>
      <c r="C203" s="480"/>
      <c r="D203" s="496"/>
      <c r="E203" s="308">
        <v>3</v>
      </c>
      <c r="F203" s="361">
        <v>15000</v>
      </c>
      <c r="G203" s="28">
        <f>10000+35000</f>
        <v>45000</v>
      </c>
    </row>
    <row r="204" spans="1:11" x14ac:dyDescent="0.25">
      <c r="A204" s="308"/>
      <c r="B204" s="441"/>
      <c r="C204" s="441"/>
      <c r="D204" s="441"/>
      <c r="E204" s="308"/>
      <c r="F204" s="308"/>
      <c r="G204" s="28"/>
    </row>
    <row r="205" spans="1:11" ht="15" customHeight="1" x14ac:dyDescent="0.25">
      <c r="A205" s="317"/>
      <c r="B205" s="416" t="s">
        <v>260</v>
      </c>
      <c r="C205" s="416"/>
      <c r="D205" s="416"/>
      <c r="E205" s="308"/>
      <c r="F205" s="308" t="s">
        <v>261</v>
      </c>
      <c r="G205" s="28">
        <f>G203+G204</f>
        <v>45000</v>
      </c>
    </row>
    <row r="206" spans="1:11" x14ac:dyDescent="0.25">
      <c r="A206" s="35"/>
      <c r="B206" s="33"/>
      <c r="C206" s="33"/>
      <c r="D206" s="33"/>
      <c r="E206" s="325"/>
      <c r="F206" s="325"/>
    </row>
    <row r="207" spans="1:11" x14ac:dyDescent="0.25">
      <c r="A207" s="35"/>
      <c r="B207" s="33"/>
      <c r="C207" s="33"/>
      <c r="D207" s="33"/>
      <c r="E207" s="325"/>
      <c r="F207" s="325"/>
    </row>
    <row r="208" spans="1:11" x14ac:dyDescent="0.25">
      <c r="A208" s="35"/>
      <c r="B208" s="33"/>
      <c r="C208" s="33"/>
      <c r="D208" s="33"/>
      <c r="E208" s="325"/>
      <c r="F208" s="325"/>
    </row>
    <row r="209" spans="1:11" x14ac:dyDescent="0.25">
      <c r="A209" s="505" t="s">
        <v>333</v>
      </c>
      <c r="B209" s="505"/>
      <c r="C209" s="505"/>
      <c r="D209" s="505"/>
      <c r="E209" s="505"/>
      <c r="F209" s="505"/>
      <c r="G209" s="505"/>
      <c r="H209" s="505"/>
      <c r="I209" s="505"/>
      <c r="J209" s="505"/>
      <c r="K209" t="s">
        <v>799</v>
      </c>
    </row>
    <row r="210" spans="1:11" x14ac:dyDescent="0.25">
      <c r="A210" s="35"/>
      <c r="B210" s="33"/>
      <c r="C210" s="33"/>
      <c r="D210" s="33"/>
      <c r="E210" s="325"/>
      <c r="F210" s="325"/>
    </row>
    <row r="211" spans="1:11" ht="60" x14ac:dyDescent="0.25">
      <c r="A211" s="390" t="s">
        <v>253</v>
      </c>
      <c r="B211" s="416" t="s">
        <v>281</v>
      </c>
      <c r="C211" s="416"/>
      <c r="D211" s="416"/>
      <c r="E211" s="390" t="s">
        <v>323</v>
      </c>
      <c r="F211" s="390" t="s">
        <v>331</v>
      </c>
      <c r="G211" s="390" t="s">
        <v>332</v>
      </c>
    </row>
    <row r="212" spans="1:11" x14ac:dyDescent="0.25">
      <c r="A212" s="390">
        <v>1</v>
      </c>
      <c r="B212" s="416">
        <v>2</v>
      </c>
      <c r="C212" s="416"/>
      <c r="D212" s="416"/>
      <c r="E212" s="390">
        <v>3</v>
      </c>
      <c r="F212" s="390">
        <v>4</v>
      </c>
      <c r="G212" s="390">
        <v>5</v>
      </c>
    </row>
    <row r="213" spans="1:11" x14ac:dyDescent="0.25">
      <c r="A213" s="390">
        <v>1</v>
      </c>
      <c r="B213" s="479" t="s">
        <v>721</v>
      </c>
      <c r="C213" s="480"/>
      <c r="D213" s="496"/>
      <c r="E213" s="390">
        <v>1</v>
      </c>
      <c r="F213" s="391">
        <v>3068847.6</v>
      </c>
      <c r="G213" s="391">
        <f>3068847.6-G217</f>
        <v>2872217.54</v>
      </c>
    </row>
    <row r="214" spans="1:11" x14ac:dyDescent="0.25">
      <c r="A214" s="390">
        <v>2</v>
      </c>
      <c r="B214" s="441" t="s">
        <v>722</v>
      </c>
      <c r="C214" s="441"/>
      <c r="D214" s="441"/>
      <c r="E214" s="390">
        <v>4</v>
      </c>
      <c r="F214" s="391">
        <v>7500</v>
      </c>
      <c r="G214" s="391">
        <v>30000</v>
      </c>
    </row>
    <row r="215" spans="1:11" x14ac:dyDescent="0.25">
      <c r="A215" s="390">
        <v>3</v>
      </c>
      <c r="B215" s="479" t="s">
        <v>723</v>
      </c>
      <c r="C215" s="480"/>
      <c r="D215" s="496"/>
      <c r="E215" s="390">
        <v>5</v>
      </c>
      <c r="F215" s="391">
        <v>4000</v>
      </c>
      <c r="G215" s="391">
        <v>20000</v>
      </c>
    </row>
    <row r="216" spans="1:11" x14ac:dyDescent="0.25">
      <c r="A216" s="390">
        <v>4</v>
      </c>
      <c r="B216" s="479" t="s">
        <v>724</v>
      </c>
      <c r="C216" s="480"/>
      <c r="D216" s="496"/>
      <c r="E216" s="390">
        <v>4</v>
      </c>
      <c r="F216" s="391">
        <v>24480.724999999999</v>
      </c>
      <c r="G216" s="391">
        <f>100000-G218</f>
        <v>97922.9</v>
      </c>
    </row>
    <row r="217" spans="1:11" ht="15" customHeight="1" x14ac:dyDescent="0.25">
      <c r="A217" s="390">
        <v>5</v>
      </c>
      <c r="B217" s="479" t="s">
        <v>803</v>
      </c>
      <c r="C217" s="480"/>
      <c r="D217" s="496"/>
      <c r="E217" s="390">
        <v>1</v>
      </c>
      <c r="F217" s="391">
        <v>196630.06</v>
      </c>
      <c r="G217" s="391">
        <v>196630.06</v>
      </c>
    </row>
    <row r="218" spans="1:11" ht="15" customHeight="1" x14ac:dyDescent="0.25">
      <c r="A218" s="390">
        <v>6</v>
      </c>
      <c r="B218" s="479" t="s">
        <v>801</v>
      </c>
      <c r="C218" s="480"/>
      <c r="D218" s="496"/>
      <c r="E218" s="390">
        <v>1</v>
      </c>
      <c r="F218" s="391">
        <v>2077.1</v>
      </c>
      <c r="G218" s="391">
        <v>2077.1</v>
      </c>
    </row>
    <row r="219" spans="1:11" ht="15" customHeight="1" x14ac:dyDescent="0.25">
      <c r="A219" s="317"/>
      <c r="B219" s="416" t="s">
        <v>260</v>
      </c>
      <c r="C219" s="416"/>
      <c r="D219" s="416"/>
      <c r="E219" s="390"/>
      <c r="F219" s="390" t="s">
        <v>261</v>
      </c>
      <c r="G219" s="391">
        <f>SUM(G213:G218)</f>
        <v>3218847.6</v>
      </c>
    </row>
    <row r="220" spans="1:11" ht="15" customHeight="1" x14ac:dyDescent="0.25">
      <c r="A220" s="318"/>
      <c r="B220" s="63"/>
      <c r="C220" s="63"/>
      <c r="D220" s="63"/>
      <c r="E220" s="63"/>
      <c r="F220" s="63"/>
      <c r="G220" s="62"/>
    </row>
    <row r="221" spans="1:11" ht="15.75" x14ac:dyDescent="0.25">
      <c r="A221" s="589" t="s">
        <v>725</v>
      </c>
      <c r="B221" s="589"/>
      <c r="C221" s="589"/>
      <c r="D221" s="589"/>
      <c r="E221" s="589"/>
      <c r="F221" s="33"/>
    </row>
    <row r="222" spans="1:11" ht="15.75" x14ac:dyDescent="0.25">
      <c r="A222" s="147"/>
      <c r="B222" s="117"/>
      <c r="C222" s="147"/>
      <c r="D222" s="147"/>
      <c r="E222" s="147"/>
      <c r="F222" s="311"/>
      <c r="G222" s="311"/>
      <c r="H222" s="311"/>
      <c r="I222" s="311"/>
      <c r="J222" s="311"/>
    </row>
    <row r="223" spans="1:11" ht="15.75" customHeight="1" x14ac:dyDescent="0.25">
      <c r="A223" s="590" t="s">
        <v>463</v>
      </c>
      <c r="B223" s="592" t="s">
        <v>9</v>
      </c>
      <c r="C223" s="592" t="s">
        <v>323</v>
      </c>
      <c r="D223" s="592" t="s">
        <v>556</v>
      </c>
      <c r="E223" s="593" t="s">
        <v>332</v>
      </c>
      <c r="F223" s="33"/>
    </row>
    <row r="224" spans="1:11" ht="77.25" customHeight="1" x14ac:dyDescent="0.25">
      <c r="A224" s="591"/>
      <c r="B224" s="592"/>
      <c r="C224" s="592"/>
      <c r="D224" s="592"/>
      <c r="E224" s="594"/>
      <c r="F224" s="33"/>
    </row>
    <row r="225" spans="1:10" x14ac:dyDescent="0.25">
      <c r="A225" s="176">
        <v>1</v>
      </c>
      <c r="B225" s="177">
        <v>2</v>
      </c>
      <c r="C225" s="177">
        <v>3</v>
      </c>
      <c r="D225" s="177">
        <v>4</v>
      </c>
      <c r="E225" s="171">
        <v>5</v>
      </c>
      <c r="F225" s="33"/>
    </row>
    <row r="226" spans="1:10" ht="15.75" x14ac:dyDescent="0.25">
      <c r="A226" s="313">
        <v>1</v>
      </c>
      <c r="B226" s="326" t="s">
        <v>726</v>
      </c>
      <c r="C226" s="125">
        <v>1</v>
      </c>
      <c r="D226" s="125">
        <v>1</v>
      </c>
      <c r="E226" s="294">
        <v>20000</v>
      </c>
      <c r="F226" s="33"/>
    </row>
    <row r="227" spans="1:10" ht="15.75" x14ac:dyDescent="0.25">
      <c r="A227" s="313"/>
      <c r="B227" s="302"/>
      <c r="C227" s="125"/>
      <c r="D227" s="125"/>
      <c r="E227" s="294"/>
      <c r="F227" s="33"/>
    </row>
    <row r="228" spans="1:10" ht="15.75" x14ac:dyDescent="0.25">
      <c r="A228" s="608" t="s">
        <v>496</v>
      </c>
      <c r="B228" s="609"/>
      <c r="C228" s="125" t="s">
        <v>19</v>
      </c>
      <c r="D228" s="125" t="s">
        <v>19</v>
      </c>
      <c r="E228" s="294">
        <f>SUM(E226:E227)</f>
        <v>20000</v>
      </c>
      <c r="F228" s="33"/>
    </row>
    <row r="229" spans="1:10" ht="15.75" x14ac:dyDescent="0.25">
      <c r="A229" s="173"/>
      <c r="B229" s="173"/>
      <c r="C229" s="402"/>
      <c r="D229" s="402"/>
      <c r="E229" s="403"/>
      <c r="F229" s="33"/>
    </row>
    <row r="230" spans="1:10" ht="15.75" x14ac:dyDescent="0.25">
      <c r="A230" s="446" t="s">
        <v>597</v>
      </c>
      <c r="B230" s="446"/>
      <c r="C230" s="446"/>
      <c r="D230" s="446"/>
      <c r="E230" s="446"/>
      <c r="F230" s="446"/>
      <c r="G230" s="446"/>
      <c r="H230" s="446"/>
      <c r="I230" s="446"/>
      <c r="J230" s="446"/>
    </row>
    <row r="231" spans="1:10" x14ac:dyDescent="0.25">
      <c r="A231" s="35"/>
      <c r="B231" s="33"/>
      <c r="C231" s="33"/>
      <c r="D231" s="33"/>
      <c r="E231" s="325"/>
      <c r="F231" s="325"/>
    </row>
    <row r="232" spans="1:10" ht="45" x14ac:dyDescent="0.25">
      <c r="A232" s="308" t="s">
        <v>253</v>
      </c>
      <c r="B232" s="416" t="s">
        <v>9</v>
      </c>
      <c r="C232" s="416"/>
      <c r="D232" s="416"/>
      <c r="E232" s="308" t="s">
        <v>319</v>
      </c>
      <c r="F232" s="308" t="s">
        <v>320</v>
      </c>
      <c r="G232" s="189" t="s">
        <v>321</v>
      </c>
      <c r="H232" s="189" t="s">
        <v>285</v>
      </c>
    </row>
    <row r="233" spans="1:10" x14ac:dyDescent="0.25">
      <c r="A233" s="308">
        <v>1</v>
      </c>
      <c r="B233" s="416">
        <v>2</v>
      </c>
      <c r="C233" s="416"/>
      <c r="D233" s="416"/>
      <c r="E233" s="308">
        <v>3</v>
      </c>
      <c r="F233" s="308">
        <v>4</v>
      </c>
      <c r="G233" s="189">
        <v>5</v>
      </c>
      <c r="H233" s="189">
        <v>6</v>
      </c>
    </row>
    <row r="234" spans="1:10" x14ac:dyDescent="0.25">
      <c r="A234" s="308">
        <v>1</v>
      </c>
      <c r="B234" s="479" t="s">
        <v>675</v>
      </c>
      <c r="C234" s="480"/>
      <c r="D234" s="496"/>
      <c r="E234" s="361">
        <v>116.0009917867484</v>
      </c>
      <c r="F234" s="361">
        <v>1688.2100354930753</v>
      </c>
      <c r="G234" s="362">
        <v>1.04</v>
      </c>
      <c r="H234" s="190">
        <f>E234*F234*G234</f>
        <v>203667.40000000002</v>
      </c>
    </row>
    <row r="235" spans="1:10" x14ac:dyDescent="0.25">
      <c r="A235" s="308">
        <v>2</v>
      </c>
      <c r="B235" s="441" t="s">
        <v>714</v>
      </c>
      <c r="C235" s="441"/>
      <c r="D235" s="441"/>
      <c r="E235" s="361">
        <v>13123.355282992243</v>
      </c>
      <c r="F235" s="361">
        <v>5.8100936408953077</v>
      </c>
      <c r="G235" s="362">
        <v>1.04</v>
      </c>
      <c r="H235" s="361">
        <f>E235*F235*G235</f>
        <v>79297.839999999982</v>
      </c>
    </row>
    <row r="236" spans="1:10" x14ac:dyDescent="0.25">
      <c r="A236" s="317"/>
      <c r="B236" s="416" t="s">
        <v>260</v>
      </c>
      <c r="C236" s="416"/>
      <c r="D236" s="416"/>
      <c r="E236" s="308" t="s">
        <v>261</v>
      </c>
      <c r="F236" s="308" t="s">
        <v>261</v>
      </c>
      <c r="G236" s="189" t="s">
        <v>261</v>
      </c>
      <c r="H236" s="190">
        <f>H234+H235</f>
        <v>282965.24</v>
      </c>
      <c r="I236" s="321"/>
    </row>
    <row r="237" spans="1:10" x14ac:dyDescent="0.25">
      <c r="A237" s="35"/>
      <c r="B237" s="33"/>
      <c r="C237" s="33"/>
      <c r="D237" s="33"/>
      <c r="E237" s="325"/>
      <c r="F237" s="325"/>
    </row>
    <row r="238" spans="1:10" x14ac:dyDescent="0.25">
      <c r="A238" s="35"/>
      <c r="B238" s="33"/>
      <c r="C238" s="33"/>
      <c r="D238" s="33"/>
      <c r="E238" s="325"/>
      <c r="F238" s="325"/>
    </row>
    <row r="239" spans="1:10" x14ac:dyDescent="0.25">
      <c r="A239" s="505" t="s">
        <v>334</v>
      </c>
      <c r="B239" s="505"/>
      <c r="C239" s="505"/>
      <c r="D239" s="505"/>
      <c r="E239" s="505"/>
      <c r="F239" s="505"/>
      <c r="G239" s="505"/>
      <c r="H239" s="505"/>
      <c r="I239" s="505"/>
      <c r="J239" s="505"/>
    </row>
    <row r="240" spans="1:10" x14ac:dyDescent="0.25">
      <c r="A240" s="35"/>
      <c r="B240" s="33"/>
      <c r="C240" s="33"/>
      <c r="D240" s="33"/>
      <c r="E240" s="325"/>
      <c r="F240" s="325"/>
    </row>
    <row r="241" spans="1:11" ht="30" x14ac:dyDescent="0.25">
      <c r="A241" s="390" t="s">
        <v>253</v>
      </c>
      <c r="B241" s="416" t="s">
        <v>335</v>
      </c>
      <c r="C241" s="416"/>
      <c r="D241" s="416"/>
      <c r="E241" s="390" t="s">
        <v>336</v>
      </c>
      <c r="F241" s="325"/>
    </row>
    <row r="242" spans="1:11" x14ac:dyDescent="0.25">
      <c r="A242" s="390">
        <v>1</v>
      </c>
      <c r="B242" s="416">
        <v>2</v>
      </c>
      <c r="C242" s="416"/>
      <c r="D242" s="416"/>
      <c r="E242" s="390">
        <v>3</v>
      </c>
      <c r="F242" s="325"/>
    </row>
    <row r="243" spans="1:11" ht="15" customHeight="1" x14ac:dyDescent="0.25">
      <c r="A243" s="390">
        <v>1</v>
      </c>
      <c r="B243" s="479" t="s">
        <v>778</v>
      </c>
      <c r="C243" s="480"/>
      <c r="D243" s="496"/>
      <c r="E243" s="391">
        <f>J29+H39+H48+H68+G85+G101+G114+G127+H142+G152+H162+G171+G182+F196+G205+G219+E228+H236-E244-E245-E246</f>
        <v>4475588.6501315963</v>
      </c>
      <c r="F243" s="325"/>
    </row>
    <row r="244" spans="1:11" x14ac:dyDescent="0.25">
      <c r="A244" s="390">
        <v>2</v>
      </c>
      <c r="B244" s="441" t="s">
        <v>775</v>
      </c>
      <c r="C244" s="441"/>
      <c r="D244" s="441"/>
      <c r="E244" s="391">
        <v>9308000</v>
      </c>
      <c r="F244" s="325"/>
    </row>
    <row r="245" spans="1:11" ht="15" customHeight="1" x14ac:dyDescent="0.25">
      <c r="A245" s="390">
        <v>3</v>
      </c>
      <c r="B245" s="479" t="s">
        <v>804</v>
      </c>
      <c r="C245" s="480"/>
      <c r="D245" s="496"/>
      <c r="E245" s="391">
        <v>366340.29721100914</v>
      </c>
      <c r="F245" s="325"/>
      <c r="K245" s="211">
        <f>'1 раздел'!Q3</f>
        <v>14396538.1</v>
      </c>
    </row>
    <row r="246" spans="1:11" ht="15" customHeight="1" x14ac:dyDescent="0.25">
      <c r="A246" s="390">
        <v>4</v>
      </c>
      <c r="B246" s="479" t="s">
        <v>776</v>
      </c>
      <c r="C246" s="480"/>
      <c r="D246" s="496"/>
      <c r="E246" s="391">
        <v>246609.15720000002</v>
      </c>
      <c r="F246" s="325"/>
      <c r="K246" s="211"/>
    </row>
    <row r="247" spans="1:11" ht="15" customHeight="1" x14ac:dyDescent="0.25">
      <c r="A247" s="317"/>
      <c r="B247" s="416" t="s">
        <v>260</v>
      </c>
      <c r="C247" s="416"/>
      <c r="D247" s="416"/>
      <c r="E247" s="391">
        <f>SUM(E243:E246)</f>
        <v>14396538.104542606</v>
      </c>
      <c r="F247" s="325"/>
      <c r="K247" s="211"/>
    </row>
    <row r="248" spans="1:11" x14ac:dyDescent="0.25">
      <c r="K248" s="211">
        <f>K245-E247</f>
        <v>-4.5426059514284134E-3</v>
      </c>
    </row>
    <row r="249" spans="1:11" s="84" customFormat="1" ht="15.75" x14ac:dyDescent="0.25">
      <c r="A249" s="96" t="s">
        <v>467</v>
      </c>
      <c r="B249" s="96"/>
      <c r="C249" s="97"/>
      <c r="D249" s="443"/>
      <c r="E249" s="443"/>
      <c r="F249" s="85" t="s">
        <v>634</v>
      </c>
      <c r="G249" s="85"/>
    </row>
    <row r="250" spans="1:11" s="84" customFormat="1" ht="15.75" x14ac:dyDescent="0.25">
      <c r="A250" s="98"/>
      <c r="B250" s="99"/>
      <c r="C250" s="99"/>
      <c r="D250" s="445" t="s">
        <v>468</v>
      </c>
      <c r="E250" s="445"/>
      <c r="F250" s="445"/>
      <c r="G250" s="445"/>
    </row>
    <row r="251" spans="1:11" s="84" customFormat="1" ht="15.75" x14ac:dyDescent="0.25">
      <c r="A251" s="96" t="s">
        <v>469</v>
      </c>
      <c r="B251" s="96"/>
      <c r="C251" s="97"/>
      <c r="D251" s="443"/>
      <c r="E251" s="443"/>
      <c r="F251" s="85" t="s">
        <v>645</v>
      </c>
      <c r="G251" s="85"/>
    </row>
    <row r="252" spans="1:11" s="84" customFormat="1" ht="15.75" x14ac:dyDescent="0.25">
      <c r="A252" s="98"/>
      <c r="B252" s="99"/>
      <c r="C252" s="99"/>
      <c r="D252" s="445" t="s">
        <v>468</v>
      </c>
      <c r="E252" s="445"/>
      <c r="F252" s="445"/>
      <c r="G252" s="445"/>
    </row>
    <row r="253" spans="1:11" x14ac:dyDescent="0.25">
      <c r="A253" s="315" t="s">
        <v>344</v>
      </c>
    </row>
  </sheetData>
  <mergeCells count="175">
    <mergeCell ref="B246:D246"/>
    <mergeCell ref="B247:D247"/>
    <mergeCell ref="B244:D244"/>
    <mergeCell ref="B245:D245"/>
    <mergeCell ref="B242:D242"/>
    <mergeCell ref="B243:D243"/>
    <mergeCell ref="B214:D214"/>
    <mergeCell ref="B217:D217"/>
    <mergeCell ref="A239:J239"/>
    <mergeCell ref="B241:D241"/>
    <mergeCell ref="B233:D233"/>
    <mergeCell ref="B234:D234"/>
    <mergeCell ref="B235:D235"/>
    <mergeCell ref="B236:D236"/>
    <mergeCell ref="B211:D211"/>
    <mergeCell ref="B212:D212"/>
    <mergeCell ref="B213:D213"/>
    <mergeCell ref="B205:D205"/>
    <mergeCell ref="A230:J230"/>
    <mergeCell ref="B232:D232"/>
    <mergeCell ref="A228:B228"/>
    <mergeCell ref="B201:D201"/>
    <mergeCell ref="B202:D202"/>
    <mergeCell ref="B203:D203"/>
    <mergeCell ref="B204:D204"/>
    <mergeCell ref="B218:D218"/>
    <mergeCell ref="B219:D219"/>
    <mergeCell ref="A173:J173"/>
    <mergeCell ref="B175:D175"/>
    <mergeCell ref="B196:D196"/>
    <mergeCell ref="A199:J199"/>
    <mergeCell ref="A209:J209"/>
    <mergeCell ref="B195:D195"/>
    <mergeCell ref="B176:D176"/>
    <mergeCell ref="B177:D177"/>
    <mergeCell ref="B179:D179"/>
    <mergeCell ref="B182:D182"/>
    <mergeCell ref="A186:J186"/>
    <mergeCell ref="B188:D188"/>
    <mergeCell ref="B189:D189"/>
    <mergeCell ref="B190:D190"/>
    <mergeCell ref="B192:D192"/>
    <mergeCell ref="B180:D180"/>
    <mergeCell ref="B181:D181"/>
    <mergeCell ref="A136:J136"/>
    <mergeCell ref="A146:J146"/>
    <mergeCell ref="B138:D138"/>
    <mergeCell ref="B139:D139"/>
    <mergeCell ref="B140:D140"/>
    <mergeCell ref="B141:D141"/>
    <mergeCell ref="B149:D149"/>
    <mergeCell ref="B170:D170"/>
    <mergeCell ref="B171:D171"/>
    <mergeCell ref="B160:D160"/>
    <mergeCell ref="B161:D161"/>
    <mergeCell ref="B162:D162"/>
    <mergeCell ref="B167:D167"/>
    <mergeCell ref="B168:D168"/>
    <mergeCell ref="B169:D169"/>
    <mergeCell ref="A165:J165"/>
    <mergeCell ref="B114:D114"/>
    <mergeCell ref="B123:D123"/>
    <mergeCell ref="B124:D124"/>
    <mergeCell ref="B125:D125"/>
    <mergeCell ref="B126:D126"/>
    <mergeCell ref="B127:D127"/>
    <mergeCell ref="A130:J130"/>
    <mergeCell ref="A132:J132"/>
    <mergeCell ref="A134:J134"/>
    <mergeCell ref="B85:D85"/>
    <mergeCell ref="A90:J90"/>
    <mergeCell ref="A92:J92"/>
    <mergeCell ref="B81:D81"/>
    <mergeCell ref="B82:D82"/>
    <mergeCell ref="B83:D83"/>
    <mergeCell ref="B84:D84"/>
    <mergeCell ref="B142:D142"/>
    <mergeCell ref="B148:D148"/>
    <mergeCell ref="A104:J104"/>
    <mergeCell ref="A117:J117"/>
    <mergeCell ref="A119:J119"/>
    <mergeCell ref="A121:J121"/>
    <mergeCell ref="B110:D110"/>
    <mergeCell ref="B111:D111"/>
    <mergeCell ref="B112:D112"/>
    <mergeCell ref="B113:D113"/>
    <mergeCell ref="A94:J94"/>
    <mergeCell ref="B96:D96"/>
    <mergeCell ref="B97:D97"/>
    <mergeCell ref="B98:D98"/>
    <mergeCell ref="B100:D100"/>
    <mergeCell ref="B101:D101"/>
    <mergeCell ref="B99:D99"/>
    <mergeCell ref="B66:F66"/>
    <mergeCell ref="B67:F67"/>
    <mergeCell ref="B68:F68"/>
    <mergeCell ref="A75:J75"/>
    <mergeCell ref="A77:J77"/>
    <mergeCell ref="A79:J79"/>
    <mergeCell ref="B58:F58"/>
    <mergeCell ref="B59:F59"/>
    <mergeCell ref="B60:F60"/>
    <mergeCell ref="B61:F61"/>
    <mergeCell ref="B62:F62"/>
    <mergeCell ref="B63:F63"/>
    <mergeCell ref="A69:J69"/>
    <mergeCell ref="A70:J70"/>
    <mergeCell ref="B54:F54"/>
    <mergeCell ref="B55:F55"/>
    <mergeCell ref="B56:F56"/>
    <mergeCell ref="B57:F57"/>
    <mergeCell ref="B47:D47"/>
    <mergeCell ref="B46:D46"/>
    <mergeCell ref="B48:D48"/>
    <mergeCell ref="B64:F64"/>
    <mergeCell ref="B65:F65"/>
    <mergeCell ref="A14:J14"/>
    <mergeCell ref="A16:J16"/>
    <mergeCell ref="A9:J9"/>
    <mergeCell ref="A10:J10"/>
    <mergeCell ref="A11:J12"/>
    <mergeCell ref="H1:J1"/>
    <mergeCell ref="H2:J2"/>
    <mergeCell ref="H3:J3"/>
    <mergeCell ref="H4:J4"/>
    <mergeCell ref="A6:J6"/>
    <mergeCell ref="A7:J7"/>
    <mergeCell ref="A18:J18"/>
    <mergeCell ref="H20:H22"/>
    <mergeCell ref="I20:I22"/>
    <mergeCell ref="D21:D22"/>
    <mergeCell ref="E21:G21"/>
    <mergeCell ref="A29:B29"/>
    <mergeCell ref="A20:A22"/>
    <mergeCell ref="B178:D178"/>
    <mergeCell ref="D249:E249"/>
    <mergeCell ref="B20:B22"/>
    <mergeCell ref="C20:C22"/>
    <mergeCell ref="D20:G20"/>
    <mergeCell ref="A33:J33"/>
    <mergeCell ref="B35:D35"/>
    <mergeCell ref="B36:D36"/>
    <mergeCell ref="B37:D37"/>
    <mergeCell ref="J20:J22"/>
    <mergeCell ref="A51:J51"/>
    <mergeCell ref="B38:D38"/>
    <mergeCell ref="B39:D39"/>
    <mergeCell ref="A42:J42"/>
    <mergeCell ref="B44:D44"/>
    <mergeCell ref="B45:D45"/>
    <mergeCell ref="B53:F53"/>
    <mergeCell ref="D250:E250"/>
    <mergeCell ref="F250:G250"/>
    <mergeCell ref="D251:E251"/>
    <mergeCell ref="D252:E252"/>
    <mergeCell ref="F252:G252"/>
    <mergeCell ref="A108:F108"/>
    <mergeCell ref="A106:D106"/>
    <mergeCell ref="B191:D191"/>
    <mergeCell ref="B193:D193"/>
    <mergeCell ref="B194:D194"/>
    <mergeCell ref="B215:D215"/>
    <mergeCell ref="B216:D216"/>
    <mergeCell ref="A221:E221"/>
    <mergeCell ref="A223:A224"/>
    <mergeCell ref="B223:B224"/>
    <mergeCell ref="C223:C224"/>
    <mergeCell ref="D223:D224"/>
    <mergeCell ref="E223:E224"/>
    <mergeCell ref="B152:D152"/>
    <mergeCell ref="B158:D158"/>
    <mergeCell ref="B159:D159"/>
    <mergeCell ref="A156:J156"/>
    <mergeCell ref="B150:D150"/>
    <mergeCell ref="B151:D151"/>
  </mergeCells>
  <hyperlinks>
    <hyperlink ref="A70" r:id="rId1" display="consultantplus://offline/ref=E5FF76759B2957F1B1B48801622FDA28C7B2833C1671F9F296A3C9C19BD62860B5CC5C856CB4F3CD9ED2CCA4kD61N"/>
  </hyperlinks>
  <pageMargins left="0.31496062992125984" right="0.31496062992125984" top="0.23622047244094488" bottom="0.23622047244094488" header="0.31496062992125984" footer="0.31496062992125984"/>
  <pageSetup paperSize="9" scale="8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F285"/>
  <sheetViews>
    <sheetView view="pageBreakPreview" topLeftCell="C255" zoomScaleSheetLayoutView="100" workbookViewId="0">
      <selection activeCell="D273" sqref="D273"/>
    </sheetView>
  </sheetViews>
  <sheetFormatPr defaultRowHeight="15.75" x14ac:dyDescent="0.25"/>
  <cols>
    <col min="1" max="1" width="9.140625" style="94"/>
    <col min="2" max="2" width="22.7109375" style="95" customWidth="1"/>
    <col min="3" max="3" width="20.5703125" style="94" customWidth="1"/>
    <col min="4" max="4" width="21.28515625" style="94" customWidth="1"/>
    <col min="5" max="5" width="17.28515625" style="94" customWidth="1"/>
    <col min="6" max="6" width="20.85546875" style="94" customWidth="1"/>
    <col min="7" max="7" width="16.85546875" style="94" customWidth="1"/>
    <col min="8" max="8" width="16.28515625" style="94" customWidth="1"/>
    <col min="9" max="9" width="19.5703125" style="94" customWidth="1"/>
    <col min="10" max="10" width="23" style="94" customWidth="1"/>
    <col min="11" max="11" width="24.42578125" style="94" customWidth="1"/>
    <col min="12" max="12" width="18" style="94" customWidth="1"/>
    <col min="13" max="13" width="9.140625" style="94"/>
    <col min="14" max="14" width="14" style="94" customWidth="1"/>
    <col min="15" max="16384" width="9.140625" style="94"/>
  </cols>
  <sheetData>
    <row r="1" spans="1:162" ht="15.75" customHeight="1" x14ac:dyDescent="0.25">
      <c r="E1" s="610"/>
      <c r="F1" s="610"/>
    </row>
    <row r="2" spans="1:162" s="115" customFormat="1" ht="40.5" customHeight="1" x14ac:dyDescent="0.3">
      <c r="A2" s="611" t="s">
        <v>481</v>
      </c>
      <c r="B2" s="611"/>
      <c r="C2" s="611"/>
      <c r="D2" s="611"/>
      <c r="E2" s="611"/>
      <c r="F2" s="611"/>
      <c r="G2" s="611"/>
      <c r="H2" s="611"/>
      <c r="I2" s="611"/>
      <c r="J2" s="611"/>
      <c r="K2" s="611"/>
      <c r="L2" s="114"/>
      <c r="M2" s="114"/>
      <c r="N2" s="114"/>
      <c r="O2" s="114"/>
      <c r="P2" s="114"/>
      <c r="Q2" s="114"/>
      <c r="R2" s="114"/>
      <c r="S2" s="114"/>
      <c r="T2" s="114"/>
      <c r="U2" s="114"/>
      <c r="V2" s="114"/>
      <c r="W2" s="114"/>
      <c r="X2" s="114"/>
      <c r="Y2" s="114"/>
      <c r="Z2" s="114"/>
    </row>
    <row r="3" spans="1:162" s="115" customFormat="1" ht="15.75" customHeight="1" x14ac:dyDescent="0.3">
      <c r="B3" s="612"/>
      <c r="C3" s="612"/>
      <c r="D3" s="612"/>
      <c r="E3" s="612"/>
      <c r="F3" s="612"/>
      <c r="G3" s="612"/>
      <c r="H3" s="612"/>
      <c r="I3" s="612"/>
      <c r="J3" s="114"/>
      <c r="K3" s="114"/>
      <c r="L3" s="114"/>
      <c r="M3" s="114"/>
      <c r="N3" s="114"/>
      <c r="O3" s="114"/>
      <c r="P3" s="114"/>
      <c r="Q3" s="114"/>
      <c r="R3" s="114"/>
      <c r="S3" s="114"/>
      <c r="T3" s="114"/>
      <c r="U3" s="114"/>
      <c r="V3" s="114"/>
      <c r="W3" s="114"/>
      <c r="X3" s="114"/>
      <c r="Y3" s="114"/>
      <c r="Z3" s="114"/>
    </row>
    <row r="4" spans="1:162" ht="20.25" customHeight="1" x14ac:dyDescent="0.25">
      <c r="A4" s="613" t="s">
        <v>482</v>
      </c>
      <c r="B4" s="613"/>
      <c r="C4" s="613"/>
      <c r="D4" s="613"/>
      <c r="E4" s="613"/>
      <c r="F4" s="613"/>
      <c r="G4" s="613"/>
      <c r="H4" s="613"/>
      <c r="I4" s="613"/>
      <c r="J4" s="613"/>
      <c r="K4" s="613"/>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row>
    <row r="5" spans="1:162" ht="15.75" customHeight="1" x14ac:dyDescent="0.25">
      <c r="B5" s="94"/>
      <c r="K5" s="117"/>
      <c r="L5" s="117"/>
      <c r="M5" s="117"/>
      <c r="N5" s="117"/>
      <c r="O5" s="117"/>
      <c r="P5" s="117"/>
      <c r="Q5" s="117"/>
      <c r="R5" s="117"/>
      <c r="S5" s="117"/>
      <c r="T5" s="117"/>
      <c r="U5" s="117"/>
      <c r="V5" s="117"/>
      <c r="W5" s="117"/>
      <c r="X5" s="117"/>
      <c r="Y5" s="117"/>
      <c r="Z5" s="117"/>
      <c r="AA5" s="117"/>
      <c r="AB5" s="117"/>
      <c r="AC5" s="117"/>
      <c r="AD5" s="117"/>
      <c r="AE5" s="117"/>
    </row>
    <row r="6" spans="1:162" ht="15.75" customHeight="1" x14ac:dyDescent="0.25">
      <c r="B6" s="118" t="s">
        <v>483</v>
      </c>
      <c r="C6" s="118"/>
      <c r="K6" s="117"/>
      <c r="L6" s="117"/>
      <c r="M6" s="117"/>
      <c r="N6" s="117"/>
      <c r="O6" s="117"/>
      <c r="P6" s="117"/>
      <c r="Q6" s="117"/>
      <c r="R6" s="117"/>
      <c r="S6" s="117"/>
      <c r="T6" s="117"/>
      <c r="U6" s="117"/>
      <c r="V6" s="117"/>
      <c r="W6" s="117"/>
      <c r="X6" s="117"/>
      <c r="Y6" s="117"/>
      <c r="Z6" s="117"/>
      <c r="AA6" s="117"/>
      <c r="AB6" s="117"/>
      <c r="AC6" s="117"/>
      <c r="AD6" s="117"/>
      <c r="AE6" s="117"/>
    </row>
    <row r="7" spans="1:162" ht="15.75" customHeight="1" x14ac:dyDescent="0.25">
      <c r="B7" s="94"/>
      <c r="K7" s="117"/>
      <c r="L7" s="117"/>
      <c r="M7" s="117"/>
      <c r="N7" s="117"/>
      <c r="O7" s="117"/>
      <c r="P7" s="117"/>
      <c r="Q7" s="117"/>
      <c r="R7" s="117"/>
      <c r="S7" s="117"/>
      <c r="T7" s="117"/>
      <c r="U7" s="117"/>
      <c r="V7" s="117"/>
      <c r="W7" s="117"/>
      <c r="X7" s="117"/>
      <c r="Y7" s="117"/>
      <c r="Z7" s="117"/>
      <c r="AA7" s="117"/>
      <c r="AB7" s="117"/>
      <c r="AC7" s="117"/>
      <c r="AD7" s="117"/>
      <c r="AE7" s="117"/>
    </row>
    <row r="8" spans="1:162" ht="15.75" customHeight="1" x14ac:dyDescent="0.25">
      <c r="B8" s="118" t="s">
        <v>351</v>
      </c>
      <c r="C8" s="118"/>
      <c r="D8" s="118" t="s">
        <v>484</v>
      </c>
      <c r="E8" s="118"/>
      <c r="F8" s="118"/>
      <c r="G8" s="118"/>
      <c r="K8" s="117"/>
      <c r="L8" s="117"/>
      <c r="M8" s="117"/>
      <c r="N8" s="117"/>
      <c r="O8" s="117"/>
      <c r="P8" s="117"/>
      <c r="Q8" s="117"/>
      <c r="R8" s="117"/>
      <c r="S8" s="117"/>
      <c r="T8" s="117"/>
      <c r="U8" s="117"/>
      <c r="V8" s="117"/>
      <c r="W8" s="117"/>
      <c r="X8" s="117"/>
      <c r="Y8" s="117"/>
      <c r="Z8" s="117"/>
      <c r="AA8" s="117"/>
      <c r="AB8" s="117"/>
      <c r="AC8" s="117"/>
      <c r="AD8" s="117"/>
      <c r="AE8" s="117"/>
    </row>
    <row r="9" spans="1:162" ht="15.75" customHeight="1" x14ac:dyDescent="0.25">
      <c r="B9" s="94"/>
      <c r="K9" s="117"/>
      <c r="L9" s="117"/>
      <c r="M9" s="117"/>
      <c r="N9" s="117"/>
      <c r="O9" s="117"/>
      <c r="P9" s="117"/>
      <c r="Q9" s="117"/>
      <c r="R9" s="117"/>
      <c r="S9" s="117"/>
      <c r="T9" s="117"/>
      <c r="U9" s="117"/>
      <c r="V9" s="117"/>
      <c r="W9" s="117"/>
      <c r="X9" s="117"/>
      <c r="Y9" s="117"/>
      <c r="Z9" s="117"/>
      <c r="AA9" s="117"/>
      <c r="AB9" s="117"/>
      <c r="AC9" s="117"/>
      <c r="AD9" s="117"/>
      <c r="AE9" s="117"/>
    </row>
    <row r="10" spans="1:162" ht="15.75" customHeight="1" x14ac:dyDescent="0.25">
      <c r="B10" s="119" t="s">
        <v>485</v>
      </c>
      <c r="K10" s="117"/>
      <c r="L10" s="117" t="s">
        <v>799</v>
      </c>
      <c r="M10" s="117"/>
      <c r="N10" s="117"/>
      <c r="O10" s="117"/>
      <c r="P10" s="117"/>
      <c r="Q10" s="117"/>
      <c r="R10" s="117"/>
      <c r="S10" s="117"/>
      <c r="T10" s="117"/>
      <c r="U10" s="117"/>
      <c r="V10" s="117"/>
      <c r="W10" s="117"/>
      <c r="X10" s="117"/>
      <c r="Y10" s="117"/>
      <c r="Z10" s="117"/>
      <c r="AA10" s="117"/>
      <c r="AB10" s="117"/>
      <c r="AC10" s="117"/>
      <c r="AD10" s="117"/>
      <c r="AE10" s="117"/>
    </row>
    <row r="11" spans="1:162" ht="15.75" customHeight="1" x14ac:dyDescent="0.25">
      <c r="B11" s="94"/>
      <c r="K11" s="117"/>
      <c r="L11" s="117"/>
      <c r="M11" s="117"/>
      <c r="N11" s="117"/>
      <c r="O11" s="117"/>
      <c r="P11" s="117"/>
      <c r="Q11" s="117"/>
      <c r="R11" s="117"/>
      <c r="S11" s="117"/>
      <c r="T11" s="117"/>
      <c r="U11" s="117"/>
      <c r="V11" s="117"/>
      <c r="W11" s="117"/>
      <c r="X11" s="117"/>
      <c r="Y11" s="117"/>
      <c r="Z11" s="117"/>
      <c r="AA11" s="117"/>
      <c r="AB11" s="117"/>
      <c r="AC11" s="117"/>
      <c r="AD11" s="117"/>
      <c r="AE11" s="117"/>
    </row>
    <row r="12" spans="1:162" ht="48" customHeight="1" x14ac:dyDescent="0.25">
      <c r="A12" s="614" t="s">
        <v>463</v>
      </c>
      <c r="B12" s="615" t="s">
        <v>486</v>
      </c>
      <c r="C12" s="615" t="s">
        <v>487</v>
      </c>
      <c r="D12" s="618" t="s">
        <v>254</v>
      </c>
      <c r="E12" s="619"/>
      <c r="F12" s="619"/>
      <c r="G12" s="620"/>
      <c r="H12" s="615" t="s">
        <v>255</v>
      </c>
      <c r="I12" s="615" t="s">
        <v>256</v>
      </c>
      <c r="J12" s="615" t="s">
        <v>488</v>
      </c>
      <c r="K12" s="627" t="s">
        <v>489</v>
      </c>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17"/>
      <c r="BY12" s="117"/>
      <c r="BZ12" s="117"/>
      <c r="CA12" s="117"/>
      <c r="CB12" s="117"/>
      <c r="CC12" s="117"/>
      <c r="CD12" s="117"/>
      <c r="CE12" s="117"/>
    </row>
    <row r="13" spans="1:162" ht="15.75" customHeight="1" x14ac:dyDescent="0.25">
      <c r="A13" s="614"/>
      <c r="B13" s="616"/>
      <c r="C13" s="616"/>
      <c r="D13" s="370" t="s">
        <v>257</v>
      </c>
      <c r="E13" s="618" t="s">
        <v>23</v>
      </c>
      <c r="F13" s="619"/>
      <c r="G13" s="619"/>
      <c r="H13" s="616"/>
      <c r="I13" s="616"/>
      <c r="J13" s="616"/>
      <c r="K13" s="627"/>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17"/>
      <c r="BI13" s="117"/>
      <c r="BJ13" s="117"/>
      <c r="BK13" s="117"/>
      <c r="BL13" s="117"/>
      <c r="BM13" s="117"/>
      <c r="BN13" s="117"/>
      <c r="BO13" s="117"/>
      <c r="BP13" s="117"/>
      <c r="BQ13" s="117"/>
      <c r="BR13" s="117"/>
      <c r="BS13" s="117"/>
      <c r="BT13" s="117"/>
      <c r="BU13" s="117"/>
    </row>
    <row r="14" spans="1:162" ht="46.5" customHeight="1" x14ac:dyDescent="0.25">
      <c r="A14" s="614"/>
      <c r="B14" s="617"/>
      <c r="C14" s="617"/>
      <c r="D14" s="383"/>
      <c r="E14" s="122" t="s">
        <v>258</v>
      </c>
      <c r="F14" s="122" t="s">
        <v>259</v>
      </c>
      <c r="G14" s="370" t="s">
        <v>490</v>
      </c>
      <c r="H14" s="617"/>
      <c r="I14" s="617"/>
      <c r="J14" s="617"/>
      <c r="K14" s="627"/>
      <c r="L14" s="120"/>
      <c r="M14" s="120"/>
      <c r="N14" s="120"/>
      <c r="O14" s="120"/>
      <c r="P14" s="120"/>
      <c r="Q14" s="120"/>
      <c r="R14" s="120"/>
      <c r="S14" s="120"/>
      <c r="T14" s="120"/>
      <c r="U14" s="120"/>
      <c r="V14" s="120"/>
      <c r="W14" s="120"/>
      <c r="X14" s="120"/>
      <c r="Y14" s="120"/>
      <c r="Z14" s="120"/>
      <c r="AA14" s="117"/>
      <c r="AB14" s="117"/>
      <c r="AC14" s="117"/>
      <c r="AD14" s="117"/>
      <c r="AE14" s="117"/>
    </row>
    <row r="15" spans="1:162" ht="15.75" customHeight="1" x14ac:dyDescent="0.25">
      <c r="A15" s="210">
        <v>1</v>
      </c>
      <c r="B15" s="124">
        <v>2</v>
      </c>
      <c r="C15" s="124">
        <v>3</v>
      </c>
      <c r="D15" s="125">
        <v>4</v>
      </c>
      <c r="E15" s="126">
        <v>5</v>
      </c>
      <c r="F15" s="127">
        <v>6</v>
      </c>
      <c r="G15" s="124">
        <v>7</v>
      </c>
      <c r="H15" s="124">
        <v>8</v>
      </c>
      <c r="I15" s="124">
        <v>9</v>
      </c>
      <c r="J15" s="127">
        <v>10</v>
      </c>
      <c r="K15" s="127">
        <v>11</v>
      </c>
      <c r="L15" s="128"/>
      <c r="M15" s="128"/>
      <c r="N15" s="128"/>
      <c r="O15" s="128"/>
      <c r="P15" s="128"/>
      <c r="Q15" s="128"/>
      <c r="R15" s="128"/>
      <c r="S15" s="128"/>
      <c r="T15" s="128"/>
      <c r="U15" s="128"/>
      <c r="V15" s="128"/>
      <c r="W15" s="128"/>
      <c r="X15" s="128"/>
      <c r="Y15" s="128"/>
      <c r="Z15" s="128"/>
      <c r="AA15" s="117"/>
      <c r="AB15" s="117"/>
      <c r="AC15" s="117"/>
      <c r="AD15" s="117"/>
      <c r="AE15" s="117"/>
    </row>
    <row r="16" spans="1:162" ht="15.75" customHeight="1" x14ac:dyDescent="0.25">
      <c r="A16" s="129"/>
      <c r="B16" s="130" t="s">
        <v>491</v>
      </c>
      <c r="C16" s="265">
        <v>1.5</v>
      </c>
      <c r="D16" s="266">
        <v>82722.440579710164</v>
      </c>
      <c r="E16" s="267">
        <v>12000</v>
      </c>
      <c r="F16" s="267"/>
      <c r="G16" s="268">
        <v>12561.29</v>
      </c>
      <c r="H16" s="268"/>
      <c r="I16" s="268">
        <v>1.1499999999999999</v>
      </c>
      <c r="J16" s="267">
        <f>(C16*D16*(1+H16/100)*I16*12)</f>
        <v>1712354.5200000003</v>
      </c>
      <c r="K16" s="133" t="s">
        <v>492</v>
      </c>
      <c r="L16" s="134"/>
      <c r="M16" s="134"/>
      <c r="N16" s="371"/>
      <c r="O16" s="134"/>
      <c r="P16" s="134"/>
      <c r="Q16" s="134"/>
      <c r="R16" s="134"/>
      <c r="S16" s="134"/>
      <c r="T16" s="134"/>
      <c r="U16" s="134"/>
      <c r="V16" s="134"/>
      <c r="W16" s="134"/>
      <c r="X16" s="134"/>
      <c r="Y16" s="134"/>
      <c r="Z16" s="134"/>
      <c r="AA16" s="117"/>
      <c r="AB16" s="117"/>
      <c r="AC16" s="117"/>
      <c r="AD16" s="117"/>
      <c r="AE16" s="117"/>
    </row>
    <row r="17" spans="1:31" ht="15.75" customHeight="1" x14ac:dyDescent="0.25">
      <c r="A17" s="129"/>
      <c r="B17" s="130" t="s">
        <v>493</v>
      </c>
      <c r="C17" s="265">
        <v>28</v>
      </c>
      <c r="D17" s="266">
        <v>47622.710351969465</v>
      </c>
      <c r="E17" s="267">
        <v>21349.224355473685</v>
      </c>
      <c r="F17" s="267">
        <v>0</v>
      </c>
      <c r="G17" s="268">
        <v>46256.425491837392</v>
      </c>
      <c r="H17" s="268"/>
      <c r="I17" s="268">
        <v>1.1499999999999999</v>
      </c>
      <c r="J17" s="267">
        <f>(C17*D17*(1+H17/100)*I17*12)</f>
        <v>18401415.280001</v>
      </c>
      <c r="K17" s="133" t="s">
        <v>492</v>
      </c>
      <c r="L17" s="134"/>
      <c r="M17" s="134"/>
      <c r="N17" s="134"/>
      <c r="O17" s="134"/>
      <c r="P17" s="134"/>
      <c r="Q17" s="134"/>
      <c r="R17" s="134"/>
      <c r="S17" s="134"/>
      <c r="T17" s="134"/>
      <c r="U17" s="134"/>
      <c r="V17" s="134"/>
      <c r="W17" s="134"/>
      <c r="X17" s="134"/>
      <c r="Y17" s="134"/>
      <c r="Z17" s="134"/>
      <c r="AA17" s="117"/>
      <c r="AB17" s="117"/>
      <c r="AC17" s="117"/>
      <c r="AD17" s="117"/>
      <c r="AE17" s="117"/>
    </row>
    <row r="18" spans="1:31" ht="15.75" customHeight="1" x14ac:dyDescent="0.25">
      <c r="A18" s="129"/>
      <c r="B18" s="130" t="s">
        <v>494</v>
      </c>
      <c r="C18" s="265"/>
      <c r="D18" s="266"/>
      <c r="E18" s="267">
        <v>0</v>
      </c>
      <c r="F18" s="267"/>
      <c r="G18" s="268">
        <v>0</v>
      </c>
      <c r="H18" s="268"/>
      <c r="I18" s="268"/>
      <c r="J18" s="267">
        <f t="shared" ref="J18:J24" si="0">(C18*D18*(1+H18/100)*I18*12)</f>
        <v>0</v>
      </c>
      <c r="K18" s="133" t="s">
        <v>492</v>
      </c>
      <c r="L18" s="134"/>
      <c r="M18" s="134"/>
      <c r="N18" s="134"/>
      <c r="O18" s="134"/>
      <c r="P18" s="134"/>
      <c r="Q18" s="134"/>
      <c r="R18" s="134"/>
      <c r="S18" s="134"/>
      <c r="T18" s="134"/>
      <c r="U18" s="134"/>
      <c r="V18" s="134"/>
      <c r="W18" s="134"/>
      <c r="X18" s="134"/>
      <c r="Y18" s="134"/>
      <c r="Z18" s="134"/>
      <c r="AA18" s="117"/>
      <c r="AB18" s="117"/>
      <c r="AC18" s="117"/>
      <c r="AD18" s="117"/>
      <c r="AE18" s="117"/>
    </row>
    <row r="19" spans="1:31" ht="15.75" customHeight="1" x14ac:dyDescent="0.25">
      <c r="A19" s="129"/>
      <c r="B19" s="130" t="s">
        <v>495</v>
      </c>
      <c r="C19" s="265">
        <v>17</v>
      </c>
      <c r="D19" s="266">
        <v>39187.939940323966</v>
      </c>
      <c r="E19" s="267">
        <v>3932.18</v>
      </c>
      <c r="F19" s="267">
        <v>144.59</v>
      </c>
      <c r="G19" s="268">
        <v>3623.14</v>
      </c>
      <c r="H19" s="268"/>
      <c r="I19" s="268">
        <v>1.1499999999999999</v>
      </c>
      <c r="J19" s="267">
        <f>(C19*D19*(1+H19/100)*I19*12)</f>
        <v>9193490.7100000009</v>
      </c>
      <c r="K19" s="133" t="s">
        <v>492</v>
      </c>
      <c r="L19" s="134"/>
      <c r="M19" s="134"/>
      <c r="N19" s="134"/>
      <c r="O19" s="134"/>
      <c r="P19" s="134"/>
      <c r="Q19" s="134"/>
      <c r="R19" s="134"/>
      <c r="S19" s="134"/>
      <c r="T19" s="134"/>
      <c r="U19" s="134"/>
      <c r="V19" s="134"/>
      <c r="W19" s="134"/>
      <c r="X19" s="134"/>
      <c r="Y19" s="134"/>
      <c r="Z19" s="134"/>
      <c r="AA19" s="117"/>
      <c r="AB19" s="117"/>
      <c r="AC19" s="117"/>
      <c r="AD19" s="117"/>
      <c r="AE19" s="117"/>
    </row>
    <row r="20" spans="1:31" ht="15.75" customHeight="1" x14ac:dyDescent="0.25">
      <c r="A20" s="129"/>
      <c r="B20" s="135" t="s">
        <v>496</v>
      </c>
      <c r="C20" s="269" t="s">
        <v>19</v>
      </c>
      <c r="D20" s="269"/>
      <c r="E20" s="270" t="s">
        <v>19</v>
      </c>
      <c r="F20" s="270" t="s">
        <v>19</v>
      </c>
      <c r="G20" s="271" t="s">
        <v>19</v>
      </c>
      <c r="H20" s="271" t="s">
        <v>19</v>
      </c>
      <c r="I20" s="271" t="s">
        <v>19</v>
      </c>
      <c r="J20" s="267">
        <f>SUM(J16:J19)-16.26</f>
        <v>29307244.250000998</v>
      </c>
      <c r="K20" s="126" t="s">
        <v>19</v>
      </c>
      <c r="L20" s="134"/>
      <c r="M20" s="134"/>
      <c r="N20" s="371"/>
      <c r="O20" s="134"/>
      <c r="P20" s="134"/>
      <c r="Q20" s="134"/>
      <c r="R20" s="134"/>
      <c r="S20" s="134"/>
      <c r="T20" s="134"/>
      <c r="U20" s="134"/>
      <c r="V20" s="134"/>
      <c r="W20" s="134"/>
      <c r="X20" s="134"/>
      <c r="Y20" s="134"/>
      <c r="Z20" s="134"/>
      <c r="AA20" s="117"/>
      <c r="AB20" s="117"/>
      <c r="AC20" s="117"/>
      <c r="AD20" s="117"/>
      <c r="AE20" s="117"/>
    </row>
    <row r="21" spans="1:31" ht="15.75" customHeight="1" x14ac:dyDescent="0.25">
      <c r="A21" s="129"/>
      <c r="B21" s="130" t="s">
        <v>491</v>
      </c>
      <c r="C21" s="125"/>
      <c r="D21" s="125"/>
      <c r="E21" s="126"/>
      <c r="F21" s="126"/>
      <c r="G21" s="132"/>
      <c r="H21" s="132"/>
      <c r="I21" s="132"/>
      <c r="J21" s="267">
        <f t="shared" si="0"/>
        <v>0</v>
      </c>
      <c r="K21" s="133" t="s">
        <v>466</v>
      </c>
      <c r="L21" s="134"/>
      <c r="M21" s="134"/>
      <c r="N21" s="134"/>
      <c r="O21" s="134"/>
      <c r="P21" s="134"/>
      <c r="Q21" s="134"/>
      <c r="R21" s="134"/>
      <c r="S21" s="134"/>
      <c r="T21" s="134"/>
      <c r="U21" s="134"/>
      <c r="V21" s="134"/>
      <c r="W21" s="134"/>
      <c r="X21" s="134"/>
      <c r="Y21" s="134"/>
      <c r="Z21" s="134"/>
      <c r="AA21" s="117"/>
      <c r="AB21" s="117"/>
      <c r="AC21" s="117"/>
      <c r="AD21" s="117"/>
      <c r="AE21" s="117"/>
    </row>
    <row r="22" spans="1:31" ht="15.75" customHeight="1" x14ac:dyDescent="0.25">
      <c r="A22" s="129"/>
      <c r="B22" s="130" t="s">
        <v>493</v>
      </c>
      <c r="C22" s="125"/>
      <c r="D22" s="125"/>
      <c r="E22" s="126"/>
      <c r="F22" s="126"/>
      <c r="G22" s="132"/>
      <c r="H22" s="132"/>
      <c r="I22" s="132"/>
      <c r="J22" s="267">
        <f t="shared" si="0"/>
        <v>0</v>
      </c>
      <c r="K22" s="133" t="s">
        <v>466</v>
      </c>
      <c r="L22" s="134"/>
      <c r="M22" s="134"/>
      <c r="N22" s="134"/>
      <c r="O22" s="134"/>
      <c r="P22" s="134"/>
      <c r="Q22" s="134"/>
      <c r="R22" s="134"/>
      <c r="S22" s="134"/>
      <c r="T22" s="134"/>
      <c r="U22" s="134"/>
      <c r="V22" s="134"/>
      <c r="W22" s="134"/>
      <c r="X22" s="134"/>
      <c r="Y22" s="134"/>
      <c r="Z22" s="134"/>
      <c r="AA22" s="117"/>
      <c r="AB22" s="117"/>
      <c r="AC22" s="117"/>
      <c r="AD22" s="117"/>
      <c r="AE22" s="117"/>
    </row>
    <row r="23" spans="1:31" ht="15.75" customHeight="1" x14ac:dyDescent="0.25">
      <c r="A23" s="129"/>
      <c r="B23" s="130" t="s">
        <v>494</v>
      </c>
      <c r="C23" s="125"/>
      <c r="D23" s="125"/>
      <c r="E23" s="126"/>
      <c r="F23" s="126"/>
      <c r="G23" s="132"/>
      <c r="H23" s="132"/>
      <c r="I23" s="132"/>
      <c r="J23" s="267">
        <f t="shared" si="0"/>
        <v>0</v>
      </c>
      <c r="K23" s="133" t="s">
        <v>466</v>
      </c>
      <c r="L23" s="134"/>
      <c r="M23" s="134"/>
      <c r="N23" s="134"/>
      <c r="O23" s="134"/>
      <c r="P23" s="134"/>
      <c r="Q23" s="134"/>
      <c r="R23" s="134"/>
      <c r="S23" s="134"/>
      <c r="T23" s="134"/>
      <c r="U23" s="134"/>
      <c r="V23" s="134"/>
      <c r="W23" s="134"/>
      <c r="X23" s="134"/>
      <c r="Y23" s="134"/>
      <c r="Z23" s="134"/>
      <c r="AA23" s="117"/>
      <c r="AB23" s="117"/>
      <c r="AC23" s="117"/>
      <c r="AD23" s="117"/>
      <c r="AE23" s="117"/>
    </row>
    <row r="24" spans="1:31" ht="15.75" customHeight="1" x14ac:dyDescent="0.25">
      <c r="A24" s="129"/>
      <c r="B24" s="130" t="s">
        <v>495</v>
      </c>
      <c r="C24" s="125"/>
      <c r="D24" s="125"/>
      <c r="E24" s="126"/>
      <c r="F24" s="126"/>
      <c r="G24" s="132"/>
      <c r="H24" s="132"/>
      <c r="I24" s="132"/>
      <c r="J24" s="267">
        <f t="shared" si="0"/>
        <v>0</v>
      </c>
      <c r="K24" s="133" t="s">
        <v>466</v>
      </c>
      <c r="L24" s="134"/>
      <c r="M24" s="134"/>
      <c r="N24" s="371"/>
      <c r="O24" s="134"/>
      <c r="P24" s="134"/>
      <c r="Q24" s="134"/>
      <c r="R24" s="134"/>
      <c r="S24" s="134"/>
      <c r="T24" s="134"/>
      <c r="U24" s="134"/>
      <c r="V24" s="134"/>
      <c r="W24" s="134"/>
      <c r="X24" s="134"/>
      <c r="Y24" s="134"/>
      <c r="Z24" s="134"/>
      <c r="AA24" s="117"/>
      <c r="AB24" s="117"/>
      <c r="AC24" s="117"/>
      <c r="AD24" s="117"/>
      <c r="AE24" s="117"/>
    </row>
    <row r="25" spans="1:31" ht="15.75" customHeight="1" x14ac:dyDescent="0.25">
      <c r="A25" s="129"/>
      <c r="B25" s="135" t="s">
        <v>496</v>
      </c>
      <c r="C25" s="125" t="s">
        <v>19</v>
      </c>
      <c r="D25" s="125"/>
      <c r="E25" s="126" t="s">
        <v>19</v>
      </c>
      <c r="F25" s="126" t="s">
        <v>19</v>
      </c>
      <c r="G25" s="132" t="s">
        <v>19</v>
      </c>
      <c r="H25" s="132" t="s">
        <v>19</v>
      </c>
      <c r="I25" s="132" t="s">
        <v>19</v>
      </c>
      <c r="J25" s="267">
        <f>SUM(J21:J24)</f>
        <v>0</v>
      </c>
      <c r="K25" s="126" t="s">
        <v>19</v>
      </c>
      <c r="L25" s="117"/>
      <c r="M25" s="117"/>
      <c r="N25" s="117"/>
      <c r="O25" s="117"/>
      <c r="P25" s="117"/>
      <c r="Q25" s="117"/>
      <c r="R25" s="117"/>
      <c r="S25" s="117"/>
      <c r="T25" s="117"/>
      <c r="U25" s="117"/>
      <c r="V25" s="117"/>
      <c r="W25" s="117"/>
      <c r="X25" s="117"/>
      <c r="Y25" s="117"/>
      <c r="Z25" s="117"/>
      <c r="AA25" s="117"/>
      <c r="AB25" s="117"/>
      <c r="AC25" s="117"/>
      <c r="AD25" s="117"/>
      <c r="AE25" s="117"/>
    </row>
    <row r="26" spans="1:31" ht="15.75" customHeight="1" x14ac:dyDescent="0.25">
      <c r="A26" s="628" t="s">
        <v>496</v>
      </c>
      <c r="B26" s="629"/>
      <c r="C26" s="272"/>
      <c r="D26" s="273"/>
      <c r="E26" s="273"/>
      <c r="F26" s="273"/>
      <c r="G26" s="273"/>
      <c r="H26" s="273"/>
      <c r="I26" s="274"/>
      <c r="J26" s="267">
        <f>J20+J25</f>
        <v>29307244.250000998</v>
      </c>
      <c r="K26" s="136"/>
      <c r="L26" s="409"/>
    </row>
    <row r="27" spans="1:31" ht="15.75" customHeight="1" x14ac:dyDescent="0.25">
      <c r="A27" s="117"/>
      <c r="B27" s="275"/>
      <c r="C27" s="276"/>
      <c r="D27" s="275"/>
      <c r="E27" s="275"/>
      <c r="F27" s="275"/>
      <c r="G27" s="275"/>
      <c r="H27" s="275"/>
      <c r="I27" s="275"/>
      <c r="J27" s="137"/>
      <c r="K27" s="138"/>
    </row>
    <row r="28" spans="1:31" ht="208.5" customHeight="1" x14ac:dyDescent="0.25">
      <c r="A28" s="630" t="s">
        <v>497</v>
      </c>
      <c r="B28" s="630"/>
      <c r="C28" s="630"/>
      <c r="D28" s="630"/>
      <c r="E28" s="630"/>
      <c r="F28" s="630"/>
      <c r="G28" s="630"/>
      <c r="H28" s="630"/>
      <c r="I28" s="630"/>
      <c r="J28" s="630"/>
      <c r="K28" s="630"/>
    </row>
    <row r="29" spans="1:31" ht="15.75" customHeight="1" x14ac:dyDescent="0.25">
      <c r="B29" s="631"/>
      <c r="C29" s="631"/>
      <c r="D29" s="631"/>
      <c r="E29" s="631"/>
      <c r="F29" s="631"/>
      <c r="G29" s="631"/>
      <c r="H29" s="631"/>
      <c r="I29" s="631"/>
      <c r="J29" s="631"/>
      <c r="K29" s="631"/>
    </row>
    <row r="30" spans="1:31" ht="21" customHeight="1" x14ac:dyDescent="0.25">
      <c r="B30" s="621" t="s">
        <v>498</v>
      </c>
      <c r="C30" s="621"/>
      <c r="D30" s="621"/>
      <c r="E30" s="621"/>
      <c r="F30" s="621"/>
      <c r="G30" s="621"/>
      <c r="H30" s="621"/>
      <c r="I30" s="621"/>
    </row>
    <row r="32" spans="1:31" ht="26.25" customHeight="1" x14ac:dyDescent="0.25">
      <c r="A32" s="622" t="s">
        <v>463</v>
      </c>
      <c r="B32" s="593" t="s">
        <v>281</v>
      </c>
      <c r="C32" s="593" t="s">
        <v>499</v>
      </c>
      <c r="D32" s="593" t="s">
        <v>283</v>
      </c>
      <c r="E32" s="593" t="s">
        <v>500</v>
      </c>
      <c r="F32" s="624" t="s">
        <v>501</v>
      </c>
      <c r="G32" s="625"/>
      <c r="H32" s="626"/>
      <c r="I32" s="139"/>
    </row>
    <row r="33" spans="1:49" ht="39.75" customHeight="1" x14ac:dyDescent="0.25">
      <c r="A33" s="623"/>
      <c r="B33" s="594"/>
      <c r="C33" s="594"/>
      <c r="D33" s="594"/>
      <c r="E33" s="594"/>
      <c r="F33" s="381" t="s">
        <v>502</v>
      </c>
      <c r="G33" s="367" t="s">
        <v>492</v>
      </c>
      <c r="H33" s="381" t="s">
        <v>466</v>
      </c>
      <c r="I33" s="141"/>
    </row>
    <row r="34" spans="1:49" x14ac:dyDescent="0.25">
      <c r="A34" s="129">
        <v>1</v>
      </c>
      <c r="B34" s="142">
        <v>2</v>
      </c>
      <c r="C34" s="142">
        <v>3</v>
      </c>
      <c r="D34" s="142">
        <v>4</v>
      </c>
      <c r="E34" s="142">
        <v>5</v>
      </c>
      <c r="F34" s="142">
        <v>6</v>
      </c>
      <c r="G34" s="143">
        <v>7</v>
      </c>
      <c r="H34" s="142">
        <v>8</v>
      </c>
      <c r="I34" s="144"/>
    </row>
    <row r="35" spans="1:49" x14ac:dyDescent="0.25">
      <c r="A35" s="129"/>
      <c r="B35" s="210"/>
      <c r="C35" s="129"/>
      <c r="D35" s="129"/>
      <c r="E35" s="129"/>
      <c r="F35" s="145"/>
      <c r="G35" s="198"/>
      <c r="H35" s="145"/>
      <c r="I35" s="117"/>
    </row>
    <row r="36" spans="1:49" x14ac:dyDescent="0.25">
      <c r="A36" s="129"/>
      <c r="B36" s="210"/>
      <c r="C36" s="129"/>
      <c r="D36" s="129"/>
      <c r="E36" s="129"/>
      <c r="F36" s="376"/>
      <c r="G36" s="375"/>
      <c r="H36" s="382"/>
      <c r="I36" s="117"/>
    </row>
    <row r="37" spans="1:49" x14ac:dyDescent="0.25">
      <c r="A37" s="632" t="s">
        <v>260</v>
      </c>
      <c r="B37" s="633"/>
      <c r="C37" s="210" t="s">
        <v>19</v>
      </c>
      <c r="D37" s="210" t="s">
        <v>19</v>
      </c>
      <c r="E37" s="210" t="s">
        <v>19</v>
      </c>
      <c r="F37" s="378">
        <v>0</v>
      </c>
      <c r="G37" s="385">
        <v>0</v>
      </c>
      <c r="H37" s="386">
        <v>0</v>
      </c>
      <c r="I37" s="117"/>
    </row>
    <row r="39" spans="1:49" x14ac:dyDescent="0.25">
      <c r="B39" s="638" t="s">
        <v>670</v>
      </c>
      <c r="C39" s="638"/>
      <c r="D39" s="638"/>
      <c r="E39" s="638"/>
      <c r="F39" s="638"/>
    </row>
    <row r="41" spans="1:49" ht="26.25" customHeight="1" x14ac:dyDescent="0.25">
      <c r="A41" s="622" t="s">
        <v>463</v>
      </c>
      <c r="B41" s="593" t="s">
        <v>281</v>
      </c>
      <c r="C41" s="593" t="s">
        <v>286</v>
      </c>
      <c r="D41" s="593" t="s">
        <v>287</v>
      </c>
      <c r="E41" s="593" t="s">
        <v>503</v>
      </c>
      <c r="F41" s="637" t="s">
        <v>501</v>
      </c>
      <c r="G41" s="637"/>
      <c r="H41" s="637"/>
      <c r="I41" s="139"/>
    </row>
    <row r="42" spans="1:49" ht="51" customHeight="1" x14ac:dyDescent="0.25">
      <c r="A42" s="623"/>
      <c r="B42" s="594"/>
      <c r="C42" s="594"/>
      <c r="D42" s="594"/>
      <c r="E42" s="594"/>
      <c r="F42" s="381" t="s">
        <v>502</v>
      </c>
      <c r="G42" s="381" t="s">
        <v>492</v>
      </c>
      <c r="H42" s="381" t="s">
        <v>466</v>
      </c>
      <c r="I42" s="141"/>
    </row>
    <row r="43" spans="1:49" x14ac:dyDescent="0.25">
      <c r="A43" s="145">
        <v>1</v>
      </c>
      <c r="B43" s="142">
        <v>2</v>
      </c>
      <c r="C43" s="142">
        <v>3</v>
      </c>
      <c r="D43" s="142">
        <v>4</v>
      </c>
      <c r="E43" s="142">
        <v>5</v>
      </c>
      <c r="F43" s="142">
        <v>6</v>
      </c>
      <c r="G43" s="142">
        <v>7</v>
      </c>
      <c r="H43" s="142">
        <v>8</v>
      </c>
      <c r="I43" s="144"/>
    </row>
    <row r="44" spans="1:49" ht="31.5" x14ac:dyDescent="0.25">
      <c r="A44" s="145">
        <v>1</v>
      </c>
      <c r="B44" s="277" t="s">
        <v>671</v>
      </c>
      <c r="C44" s="145">
        <v>4</v>
      </c>
      <c r="D44" s="145">
        <v>12</v>
      </c>
      <c r="E44" s="145">
        <v>57.5</v>
      </c>
      <c r="F44" s="278">
        <f>G44</f>
        <v>2760</v>
      </c>
      <c r="G44" s="278">
        <v>2760</v>
      </c>
      <c r="H44" s="145"/>
      <c r="I44" s="117"/>
    </row>
    <row r="45" spans="1:49" s="150" customFormat="1" ht="32.25" customHeight="1" x14ac:dyDescent="0.25">
      <c r="A45" s="155" t="s">
        <v>80</v>
      </c>
      <c r="B45" s="279" t="s">
        <v>672</v>
      </c>
      <c r="C45" s="393">
        <v>46</v>
      </c>
      <c r="D45" s="393">
        <v>1</v>
      </c>
      <c r="E45" s="386">
        <f>F45/C45</f>
        <v>3260.8695652173915</v>
      </c>
      <c r="F45" s="280">
        <f>G45</f>
        <v>150000</v>
      </c>
      <c r="G45" s="281">
        <v>150000</v>
      </c>
      <c r="H45" s="281"/>
      <c r="I45" s="174"/>
      <c r="L45" s="134"/>
      <c r="M45" s="134"/>
      <c r="N45" s="134"/>
      <c r="O45" s="134"/>
      <c r="P45" s="134"/>
      <c r="Q45" s="134"/>
      <c r="R45" s="134"/>
      <c r="S45" s="134"/>
      <c r="T45" s="134"/>
      <c r="U45" s="134"/>
      <c r="V45" s="134"/>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row>
    <row r="46" spans="1:49" x14ac:dyDescent="0.25">
      <c r="A46" s="632" t="s">
        <v>260</v>
      </c>
      <c r="B46" s="633"/>
      <c r="C46" s="210" t="s">
        <v>19</v>
      </c>
      <c r="D46" s="210" t="s">
        <v>19</v>
      </c>
      <c r="E46" s="210" t="s">
        <v>19</v>
      </c>
      <c r="F46" s="282">
        <f>F44+F45</f>
        <v>152760</v>
      </c>
      <c r="G46" s="283">
        <f>G44+G45</f>
        <v>152760</v>
      </c>
      <c r="H46" s="386">
        <v>0</v>
      </c>
      <c r="I46" s="117"/>
    </row>
    <row r="48" spans="1:49" ht="33" customHeight="1" x14ac:dyDescent="0.25">
      <c r="B48" s="634" t="s">
        <v>504</v>
      </c>
      <c r="C48" s="634"/>
      <c r="D48" s="634"/>
      <c r="E48" s="634"/>
      <c r="F48" s="634"/>
      <c r="G48" s="634"/>
      <c r="H48" s="634"/>
      <c r="I48" s="634"/>
    </row>
    <row r="50" spans="1:12" ht="31.5" customHeight="1" x14ac:dyDescent="0.25">
      <c r="A50" s="635" t="s">
        <v>463</v>
      </c>
      <c r="B50" s="637" t="s">
        <v>262</v>
      </c>
      <c r="C50" s="637"/>
      <c r="D50" s="637"/>
      <c r="E50" s="593" t="s">
        <v>505</v>
      </c>
      <c r="F50" s="637" t="s">
        <v>506</v>
      </c>
      <c r="G50" s="637"/>
      <c r="H50" s="637"/>
      <c r="I50" s="146"/>
    </row>
    <row r="51" spans="1:12" ht="50.25" customHeight="1" x14ac:dyDescent="0.25">
      <c r="A51" s="636"/>
      <c r="B51" s="637"/>
      <c r="C51" s="637"/>
      <c r="D51" s="637"/>
      <c r="E51" s="594"/>
      <c r="F51" s="381" t="s">
        <v>507</v>
      </c>
      <c r="G51" s="381" t="s">
        <v>492</v>
      </c>
      <c r="H51" s="381" t="s">
        <v>466</v>
      </c>
      <c r="I51" s="141"/>
    </row>
    <row r="52" spans="1:12" ht="17.25" customHeight="1" x14ac:dyDescent="0.25">
      <c r="A52" s="199">
        <v>1</v>
      </c>
      <c r="B52" s="645">
        <v>2</v>
      </c>
      <c r="C52" s="645"/>
      <c r="D52" s="645"/>
      <c r="E52" s="210">
        <v>3</v>
      </c>
      <c r="F52" s="210">
        <v>4</v>
      </c>
      <c r="G52" s="210">
        <v>5</v>
      </c>
      <c r="H52" s="210">
        <v>6</v>
      </c>
      <c r="I52" s="147"/>
    </row>
    <row r="53" spans="1:12" s="209" customFormat="1" ht="32.25" customHeight="1" x14ac:dyDescent="0.25">
      <c r="A53" s="148">
        <v>1</v>
      </c>
      <c r="B53" s="642" t="s">
        <v>265</v>
      </c>
      <c r="C53" s="643"/>
      <c r="D53" s="644"/>
      <c r="E53" s="145" t="s">
        <v>19</v>
      </c>
      <c r="F53" s="281">
        <f>G53</f>
        <v>6447593.7350002201</v>
      </c>
      <c r="G53" s="284">
        <f>G54</f>
        <v>6447593.7350002201</v>
      </c>
      <c r="H53" s="145"/>
      <c r="I53" s="117"/>
    </row>
    <row r="54" spans="1:12" ht="34.5" customHeight="1" x14ac:dyDescent="0.25">
      <c r="A54" s="148" t="s">
        <v>290</v>
      </c>
      <c r="B54" s="642" t="s">
        <v>508</v>
      </c>
      <c r="C54" s="643"/>
      <c r="D54" s="644"/>
      <c r="E54" s="285">
        <f>J26</f>
        <v>29307244.250000998</v>
      </c>
      <c r="F54" s="281">
        <f>G54</f>
        <v>6447593.7350002201</v>
      </c>
      <c r="G54" s="286">
        <f>E54*22%</f>
        <v>6447593.7350002201</v>
      </c>
      <c r="H54" s="129"/>
      <c r="I54" s="117"/>
    </row>
    <row r="55" spans="1:12" ht="16.5" customHeight="1" x14ac:dyDescent="0.25">
      <c r="A55" s="148" t="s">
        <v>202</v>
      </c>
      <c r="B55" s="642" t="s">
        <v>267</v>
      </c>
      <c r="C55" s="643"/>
      <c r="D55" s="644"/>
      <c r="E55" s="129"/>
      <c r="F55" s="281"/>
      <c r="G55" s="287"/>
      <c r="H55" s="129"/>
      <c r="I55" s="117"/>
    </row>
    <row r="56" spans="1:12" ht="34.5" customHeight="1" x14ac:dyDescent="0.25">
      <c r="A56" s="148" t="s">
        <v>203</v>
      </c>
      <c r="B56" s="642" t="s">
        <v>268</v>
      </c>
      <c r="C56" s="643"/>
      <c r="D56" s="644"/>
      <c r="E56" s="129"/>
      <c r="F56" s="281"/>
      <c r="G56" s="287"/>
      <c r="H56" s="129"/>
      <c r="I56" s="117"/>
    </row>
    <row r="57" spans="1:12" ht="33" customHeight="1" x14ac:dyDescent="0.25">
      <c r="A57" s="148" t="s">
        <v>80</v>
      </c>
      <c r="B57" s="642" t="s">
        <v>269</v>
      </c>
      <c r="C57" s="643"/>
      <c r="D57" s="644"/>
      <c r="E57" s="145" t="s">
        <v>19</v>
      </c>
      <c r="F57" s="281">
        <f>G57</f>
        <v>908524.57175003085</v>
      </c>
      <c r="G57" s="286">
        <f>G58+G60</f>
        <v>908524.57175003085</v>
      </c>
      <c r="H57" s="129"/>
      <c r="I57" s="117"/>
    </row>
    <row r="58" spans="1:12" ht="41.25" customHeight="1" x14ac:dyDescent="0.25">
      <c r="A58" s="148" t="s">
        <v>509</v>
      </c>
      <c r="B58" s="639" t="s">
        <v>510</v>
      </c>
      <c r="C58" s="640"/>
      <c r="D58" s="641"/>
      <c r="E58" s="288">
        <f>E54</f>
        <v>29307244.250000998</v>
      </c>
      <c r="F58" s="281">
        <f>G58</f>
        <v>849910.0832500289</v>
      </c>
      <c r="G58" s="286">
        <f>E58*2.9%</f>
        <v>849910.0832500289</v>
      </c>
      <c r="H58" s="129"/>
      <c r="I58" s="117"/>
    </row>
    <row r="59" spans="1:12" ht="34.5" customHeight="1" x14ac:dyDescent="0.25">
      <c r="A59" s="148" t="s">
        <v>511</v>
      </c>
      <c r="B59" s="642" t="s">
        <v>271</v>
      </c>
      <c r="C59" s="643"/>
      <c r="D59" s="644"/>
      <c r="E59" s="287"/>
      <c r="F59" s="281"/>
      <c r="G59" s="287"/>
      <c r="H59" s="129"/>
      <c r="I59" s="117"/>
    </row>
    <row r="60" spans="1:12" ht="33.75" customHeight="1" x14ac:dyDescent="0.25">
      <c r="A60" s="148" t="s">
        <v>512</v>
      </c>
      <c r="B60" s="642" t="s">
        <v>272</v>
      </c>
      <c r="C60" s="643"/>
      <c r="D60" s="644"/>
      <c r="E60" s="288">
        <f>E58</f>
        <v>29307244.250000998</v>
      </c>
      <c r="F60" s="281">
        <f>G60</f>
        <v>58614.488500002</v>
      </c>
      <c r="G60" s="286">
        <f>E60*0.2%</f>
        <v>58614.488500002</v>
      </c>
      <c r="H60" s="129"/>
      <c r="I60" s="117"/>
    </row>
    <row r="61" spans="1:12" ht="33.75" customHeight="1" x14ac:dyDescent="0.25">
      <c r="A61" s="148" t="s">
        <v>513</v>
      </c>
      <c r="B61" s="642" t="s">
        <v>514</v>
      </c>
      <c r="C61" s="643"/>
      <c r="D61" s="644"/>
      <c r="E61" s="287"/>
      <c r="F61" s="281"/>
      <c r="G61" s="287"/>
      <c r="H61" s="129"/>
      <c r="I61" s="117"/>
    </row>
    <row r="62" spans="1:12" ht="39.75" customHeight="1" x14ac:dyDescent="0.25">
      <c r="A62" s="148" t="s">
        <v>515</v>
      </c>
      <c r="B62" s="642" t="s">
        <v>514</v>
      </c>
      <c r="C62" s="643"/>
      <c r="D62" s="644"/>
      <c r="E62" s="287"/>
      <c r="F62" s="281"/>
      <c r="G62" s="287"/>
      <c r="H62" s="129"/>
      <c r="I62" s="117"/>
    </row>
    <row r="63" spans="1:12" ht="30" customHeight="1" x14ac:dyDescent="0.25">
      <c r="A63" s="148" t="s">
        <v>161</v>
      </c>
      <c r="B63" s="642" t="s">
        <v>273</v>
      </c>
      <c r="C63" s="643"/>
      <c r="D63" s="644"/>
      <c r="E63" s="288">
        <f>E60</f>
        <v>29307244.250000998</v>
      </c>
      <c r="F63" s="281">
        <f>G63</f>
        <v>1494669.4367500509</v>
      </c>
      <c r="G63" s="286">
        <f>E63*5.1%-0.02</f>
        <v>1494669.4367500509</v>
      </c>
      <c r="H63" s="129"/>
      <c r="I63" s="117"/>
    </row>
    <row r="64" spans="1:12" ht="30.75" customHeight="1" x14ac:dyDescent="0.25">
      <c r="A64" s="654" t="s">
        <v>260</v>
      </c>
      <c r="B64" s="654"/>
      <c r="C64" s="654"/>
      <c r="D64" s="654"/>
      <c r="E64" s="210" t="s">
        <v>19</v>
      </c>
      <c r="F64" s="289">
        <f>F53+F57+F63</f>
        <v>8850787.7435003016</v>
      </c>
      <c r="G64" s="289">
        <f>G53+G57+G63</f>
        <v>8850787.7435003016</v>
      </c>
      <c r="H64" s="289">
        <f>H53+H57+H63</f>
        <v>0</v>
      </c>
      <c r="I64" s="117"/>
      <c r="L64" s="405"/>
    </row>
    <row r="65" spans="1:49" ht="16.5" customHeight="1" x14ac:dyDescent="0.25">
      <c r="B65" s="149"/>
      <c r="C65" s="149"/>
      <c r="D65" s="149"/>
      <c r="E65" s="147"/>
      <c r="F65" s="117"/>
    </row>
    <row r="66" spans="1:49" ht="99" customHeight="1" x14ac:dyDescent="0.25">
      <c r="A66" s="655" t="s">
        <v>516</v>
      </c>
      <c r="B66" s="655"/>
      <c r="C66" s="655"/>
      <c r="D66" s="655"/>
      <c r="E66" s="655"/>
      <c r="F66" s="655"/>
      <c r="G66" s="655"/>
      <c r="H66" s="655"/>
      <c r="I66" s="655"/>
      <c r="J66" s="655"/>
      <c r="K66" s="655"/>
    </row>
    <row r="67" spans="1:49" ht="21" customHeight="1" x14ac:dyDescent="0.25">
      <c r="B67" s="656"/>
      <c r="C67" s="656"/>
      <c r="D67" s="656"/>
      <c r="E67" s="656"/>
      <c r="F67" s="656"/>
    </row>
    <row r="68" spans="1:49" s="150" customFormat="1" ht="27" customHeight="1" x14ac:dyDescent="0.25">
      <c r="A68" s="657" t="s">
        <v>517</v>
      </c>
      <c r="B68" s="657"/>
      <c r="C68" s="657"/>
      <c r="D68" s="657"/>
      <c r="E68" s="657"/>
      <c r="F68" s="657"/>
      <c r="G68" s="657"/>
      <c r="H68" s="657"/>
      <c r="I68" s="657"/>
      <c r="J68" s="657"/>
      <c r="K68" s="657"/>
    </row>
    <row r="69" spans="1:49" s="150" customFormat="1" ht="16.5" customHeight="1" x14ac:dyDescent="0.25">
      <c r="A69" s="203"/>
      <c r="B69" s="203"/>
      <c r="C69" s="203"/>
      <c r="D69" s="203"/>
      <c r="E69" s="203"/>
      <c r="F69" s="203"/>
      <c r="G69" s="203"/>
      <c r="H69" s="203"/>
      <c r="I69" s="203"/>
      <c r="J69" s="203"/>
      <c r="K69" s="203"/>
    </row>
    <row r="70" spans="1:49" ht="15.75" customHeight="1" x14ac:dyDescent="0.25">
      <c r="B70" s="118" t="s">
        <v>518</v>
      </c>
      <c r="C70" s="118"/>
      <c r="K70" s="117"/>
      <c r="L70" s="117"/>
      <c r="M70" s="117"/>
      <c r="N70" s="117"/>
      <c r="O70" s="117"/>
      <c r="P70" s="117"/>
      <c r="Q70" s="117"/>
      <c r="R70" s="117"/>
      <c r="S70" s="117"/>
      <c r="T70" s="117"/>
      <c r="U70" s="117"/>
      <c r="V70" s="117"/>
      <c r="W70" s="117"/>
      <c r="X70" s="117"/>
      <c r="Y70" s="117"/>
      <c r="Z70" s="117"/>
      <c r="AA70" s="117"/>
      <c r="AB70" s="117"/>
      <c r="AC70" s="117"/>
      <c r="AD70" s="117"/>
      <c r="AE70" s="117"/>
    </row>
    <row r="71" spans="1:49" ht="15.75" customHeight="1" x14ac:dyDescent="0.25">
      <c r="B71" s="94"/>
      <c r="K71" s="117"/>
      <c r="L71" s="117"/>
      <c r="M71" s="117"/>
      <c r="N71" s="117"/>
      <c r="O71" s="117"/>
      <c r="P71" s="117"/>
      <c r="Q71" s="117"/>
      <c r="R71" s="117"/>
      <c r="S71" s="117"/>
      <c r="T71" s="117"/>
      <c r="U71" s="117"/>
      <c r="V71" s="117"/>
      <c r="W71" s="117"/>
      <c r="X71" s="117"/>
      <c r="Y71" s="117"/>
      <c r="Z71" s="117"/>
      <c r="AA71" s="117"/>
      <c r="AB71" s="117"/>
      <c r="AC71" s="117"/>
      <c r="AD71" s="117"/>
      <c r="AE71" s="117"/>
    </row>
    <row r="72" spans="1:49" ht="15.75" customHeight="1" x14ac:dyDescent="0.25">
      <c r="B72" s="118" t="s">
        <v>351</v>
      </c>
      <c r="C72" s="118"/>
      <c r="D72" s="118" t="s">
        <v>519</v>
      </c>
      <c r="E72" s="118"/>
      <c r="F72" s="118"/>
      <c r="G72" s="118"/>
      <c r="K72" s="117"/>
      <c r="L72" s="117"/>
      <c r="M72" s="117"/>
      <c r="N72" s="117"/>
      <c r="O72" s="117"/>
      <c r="P72" s="117"/>
      <c r="Q72" s="117"/>
      <c r="R72" s="117"/>
      <c r="S72" s="117"/>
      <c r="T72" s="117"/>
      <c r="U72" s="117"/>
      <c r="V72" s="117"/>
      <c r="W72" s="117"/>
      <c r="X72" s="117"/>
      <c r="Y72" s="117"/>
      <c r="Z72" s="117"/>
      <c r="AA72" s="117"/>
      <c r="AB72" s="117"/>
      <c r="AC72" s="117"/>
      <c r="AD72" s="117"/>
      <c r="AE72" s="117"/>
    </row>
    <row r="73" spans="1:49" ht="15.75" customHeight="1" x14ac:dyDescent="0.25">
      <c r="B73" s="94"/>
      <c r="K73" s="117"/>
      <c r="L73" s="117"/>
      <c r="M73" s="117"/>
      <c r="N73" s="117"/>
      <c r="O73" s="117"/>
      <c r="P73" s="117"/>
      <c r="Q73" s="117"/>
      <c r="R73" s="117"/>
      <c r="S73" s="117"/>
      <c r="T73" s="117"/>
      <c r="U73" s="117"/>
      <c r="V73" s="117"/>
      <c r="W73" s="117"/>
      <c r="X73" s="117"/>
      <c r="Y73" s="117"/>
      <c r="Z73" s="117"/>
      <c r="AA73" s="117"/>
      <c r="AB73" s="117"/>
      <c r="AC73" s="117"/>
      <c r="AD73" s="117"/>
      <c r="AE73" s="117"/>
    </row>
    <row r="74" spans="1:49" s="150" customFormat="1" ht="15.75" customHeight="1" x14ac:dyDescent="0.25">
      <c r="A74" s="635" t="s">
        <v>463</v>
      </c>
      <c r="B74" s="592" t="s">
        <v>9</v>
      </c>
      <c r="C74" s="592"/>
      <c r="D74" s="592"/>
      <c r="E74" s="592" t="s">
        <v>300</v>
      </c>
      <c r="F74" s="592" t="s">
        <v>520</v>
      </c>
      <c r="G74" s="624" t="s">
        <v>506</v>
      </c>
      <c r="H74" s="625"/>
      <c r="I74" s="626"/>
    </row>
    <row r="75" spans="1:49" s="150" customFormat="1" ht="51" customHeight="1" x14ac:dyDescent="0.25">
      <c r="A75" s="636"/>
      <c r="B75" s="592"/>
      <c r="C75" s="592"/>
      <c r="D75" s="592"/>
      <c r="E75" s="592"/>
      <c r="F75" s="592"/>
      <c r="G75" s="381" t="s">
        <v>521</v>
      </c>
      <c r="H75" s="367" t="s">
        <v>492</v>
      </c>
      <c r="I75" s="381" t="s">
        <v>466</v>
      </c>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row>
    <row r="76" spans="1:49" s="150" customFormat="1" x14ac:dyDescent="0.25">
      <c r="A76" s="204">
        <v>1</v>
      </c>
      <c r="B76" s="646">
        <v>2</v>
      </c>
      <c r="C76" s="646"/>
      <c r="D76" s="646"/>
      <c r="E76" s="204">
        <v>3</v>
      </c>
      <c r="F76" s="152">
        <v>4</v>
      </c>
      <c r="G76" s="153">
        <v>4</v>
      </c>
      <c r="H76" s="154">
        <v>5</v>
      </c>
      <c r="I76" s="153">
        <v>6</v>
      </c>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row>
    <row r="77" spans="1:49" s="150" customFormat="1" ht="25.5" customHeight="1" x14ac:dyDescent="0.25">
      <c r="A77" s="155"/>
      <c r="B77" s="647"/>
      <c r="C77" s="648"/>
      <c r="D77" s="649"/>
      <c r="E77" s="281"/>
      <c r="F77" s="165"/>
      <c r="G77" s="281"/>
      <c r="H77" s="280"/>
      <c r="I77" s="387"/>
      <c r="L77" s="134"/>
      <c r="M77" s="134"/>
      <c r="N77" s="134"/>
      <c r="O77" s="134"/>
      <c r="P77" s="134"/>
      <c r="Q77" s="134"/>
      <c r="R77" s="134"/>
      <c r="S77" s="134"/>
      <c r="T77" s="134"/>
      <c r="U77" s="134"/>
      <c r="V77" s="134"/>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row>
    <row r="78" spans="1:49" s="150" customFormat="1" x14ac:dyDescent="0.25">
      <c r="A78" s="650" t="s">
        <v>496</v>
      </c>
      <c r="B78" s="651"/>
      <c r="C78" s="651"/>
      <c r="D78" s="652"/>
      <c r="E78" s="156" t="s">
        <v>19</v>
      </c>
      <c r="F78" s="158" t="s">
        <v>19</v>
      </c>
      <c r="G78" s="290">
        <f>G77</f>
        <v>0</v>
      </c>
      <c r="H78" s="291">
        <f>H77</f>
        <v>0</v>
      </c>
      <c r="I78" s="377">
        <v>0</v>
      </c>
      <c r="L78" s="134"/>
      <c r="M78" s="134"/>
      <c r="N78" s="134"/>
      <c r="O78" s="134"/>
      <c r="P78" s="134"/>
      <c r="Q78" s="134"/>
      <c r="R78" s="134"/>
      <c r="S78" s="134"/>
      <c r="T78" s="134"/>
      <c r="U78" s="134"/>
      <c r="V78" s="134"/>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row>
    <row r="79" spans="1:49" s="150" customFormat="1" x14ac:dyDescent="0.25">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row>
    <row r="80" spans="1:49" s="150" customFormat="1" ht="69" customHeight="1" x14ac:dyDescent="0.25">
      <c r="A80" s="653" t="s">
        <v>522</v>
      </c>
      <c r="B80" s="653"/>
      <c r="C80" s="653"/>
      <c r="D80" s="653"/>
      <c r="E80" s="653"/>
      <c r="F80" s="653"/>
      <c r="G80" s="653"/>
      <c r="H80" s="653"/>
      <c r="I80" s="653"/>
      <c r="J80" s="653"/>
      <c r="K80" s="653"/>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row>
    <row r="81" spans="1:31" s="150" customFormat="1" x14ac:dyDescent="0.25"/>
    <row r="82" spans="1:31" ht="15.75" customHeight="1" x14ac:dyDescent="0.25">
      <c r="A82" s="657" t="s">
        <v>523</v>
      </c>
      <c r="B82" s="657"/>
      <c r="C82" s="657"/>
      <c r="D82" s="657"/>
      <c r="E82" s="657"/>
      <c r="F82" s="657"/>
      <c r="G82" s="657"/>
      <c r="H82" s="657"/>
      <c r="I82" s="657"/>
      <c r="J82" s="657"/>
      <c r="K82" s="657"/>
    </row>
    <row r="83" spans="1:31" ht="15.75" customHeight="1" x14ac:dyDescent="0.25">
      <c r="A83" s="203"/>
      <c r="B83" s="203"/>
      <c r="C83" s="203"/>
      <c r="D83" s="203"/>
      <c r="E83" s="203"/>
      <c r="F83" s="203"/>
      <c r="G83" s="203"/>
      <c r="H83" s="203"/>
      <c r="I83" s="203"/>
      <c r="J83" s="203"/>
      <c r="K83" s="203"/>
    </row>
    <row r="84" spans="1:31" ht="15.75" customHeight="1" x14ac:dyDescent="0.25">
      <c r="B84" s="118" t="s">
        <v>524</v>
      </c>
      <c r="C84" s="118"/>
      <c r="K84" s="117"/>
      <c r="L84" s="117"/>
      <c r="M84" s="117"/>
      <c r="N84" s="117"/>
      <c r="O84" s="117"/>
      <c r="P84" s="117"/>
      <c r="Q84" s="117"/>
      <c r="R84" s="117"/>
      <c r="S84" s="117"/>
      <c r="T84" s="117"/>
      <c r="U84" s="117"/>
      <c r="V84" s="117"/>
      <c r="W84" s="117"/>
      <c r="X84" s="117"/>
      <c r="Y84" s="117"/>
      <c r="Z84" s="117"/>
      <c r="AA84" s="117"/>
      <c r="AB84" s="117"/>
      <c r="AC84" s="117"/>
      <c r="AD84" s="117"/>
      <c r="AE84" s="117"/>
    </row>
    <row r="85" spans="1:31" ht="15.75" customHeight="1" x14ac:dyDescent="0.25">
      <c r="B85" s="94"/>
      <c r="K85" s="117"/>
      <c r="L85" s="117"/>
      <c r="M85" s="117"/>
      <c r="N85" s="117"/>
      <c r="O85" s="117"/>
      <c r="P85" s="117"/>
      <c r="Q85" s="117"/>
      <c r="R85" s="117"/>
      <c r="S85" s="117"/>
      <c r="T85" s="117"/>
      <c r="U85" s="117"/>
      <c r="V85" s="117"/>
      <c r="W85" s="117"/>
      <c r="X85" s="117"/>
      <c r="Y85" s="117"/>
      <c r="Z85" s="117"/>
      <c r="AA85" s="117"/>
      <c r="AB85" s="117"/>
      <c r="AC85" s="117"/>
      <c r="AD85" s="117"/>
      <c r="AE85" s="117"/>
    </row>
    <row r="86" spans="1:31" ht="15.75" customHeight="1" x14ac:dyDescent="0.25">
      <c r="B86" s="118" t="s">
        <v>351</v>
      </c>
      <c r="C86" s="118"/>
      <c r="D86" s="118" t="s">
        <v>519</v>
      </c>
      <c r="E86" s="118"/>
      <c r="F86" s="118"/>
      <c r="G86" s="118"/>
      <c r="K86" s="117"/>
      <c r="L86" s="117"/>
      <c r="M86" s="117"/>
      <c r="N86" s="117"/>
      <c r="O86" s="117"/>
      <c r="P86" s="117"/>
      <c r="Q86" s="117"/>
      <c r="R86" s="117"/>
      <c r="S86" s="117"/>
      <c r="T86" s="117"/>
      <c r="U86" s="117"/>
      <c r="V86" s="117"/>
      <c r="W86" s="117"/>
      <c r="X86" s="117"/>
      <c r="Y86" s="117"/>
      <c r="Z86" s="117"/>
      <c r="AA86" s="117"/>
      <c r="AB86" s="117"/>
      <c r="AC86" s="117"/>
      <c r="AD86" s="117"/>
      <c r="AE86" s="117"/>
    </row>
    <row r="87" spans="1:31" ht="15.75" customHeight="1" x14ac:dyDescent="0.25">
      <c r="A87" s="119"/>
      <c r="B87" s="119"/>
      <c r="C87" s="119"/>
      <c r="D87" s="119"/>
    </row>
    <row r="88" spans="1:31" ht="15.75" customHeight="1" x14ac:dyDescent="0.25">
      <c r="A88" s="635" t="s">
        <v>463</v>
      </c>
      <c r="B88" s="637" t="s">
        <v>281</v>
      </c>
      <c r="C88" s="637"/>
      <c r="D88" s="593" t="s">
        <v>305</v>
      </c>
      <c r="E88" s="593" t="s">
        <v>306</v>
      </c>
      <c r="F88" s="624" t="s">
        <v>506</v>
      </c>
      <c r="G88" s="625"/>
      <c r="H88" s="626"/>
    </row>
    <row r="89" spans="1:31" ht="51.75" customHeight="1" x14ac:dyDescent="0.25">
      <c r="A89" s="636"/>
      <c r="B89" s="637"/>
      <c r="C89" s="637"/>
      <c r="D89" s="594"/>
      <c r="E89" s="594"/>
      <c r="F89" s="161" t="s">
        <v>526</v>
      </c>
      <c r="G89" s="367" t="s">
        <v>492</v>
      </c>
      <c r="H89" s="381" t="s">
        <v>466</v>
      </c>
    </row>
    <row r="90" spans="1:31" x14ac:dyDescent="0.25">
      <c r="A90" s="202">
        <v>1</v>
      </c>
      <c r="B90" s="658">
        <v>2</v>
      </c>
      <c r="C90" s="658"/>
      <c r="D90" s="202">
        <v>3</v>
      </c>
      <c r="E90" s="202">
        <v>4</v>
      </c>
      <c r="F90" s="202">
        <v>5</v>
      </c>
      <c r="G90" s="162">
        <v>6</v>
      </c>
      <c r="H90" s="202">
        <v>7</v>
      </c>
    </row>
    <row r="91" spans="1:31" x14ac:dyDescent="0.25">
      <c r="A91" s="210">
        <v>1</v>
      </c>
      <c r="B91" s="659" t="s">
        <v>460</v>
      </c>
      <c r="C91" s="659"/>
      <c r="D91" s="292">
        <v>77982302.680000007</v>
      </c>
      <c r="E91" s="163">
        <v>1.50000004</v>
      </c>
      <c r="F91" s="281">
        <f>D91*E91/100*0.81+2</f>
        <v>947487.00282826624</v>
      </c>
      <c r="G91" s="280"/>
      <c r="H91" s="281">
        <f>F91</f>
        <v>947487.00282826624</v>
      </c>
    </row>
    <row r="92" spans="1:31" x14ac:dyDescent="0.25">
      <c r="A92" s="210">
        <v>2</v>
      </c>
      <c r="B92" s="659" t="s">
        <v>527</v>
      </c>
      <c r="C92" s="659"/>
      <c r="D92" s="292"/>
      <c r="E92" s="292"/>
      <c r="F92" s="281"/>
      <c r="G92" s="280"/>
      <c r="H92" s="281"/>
    </row>
    <row r="93" spans="1:31" ht="34.5" customHeight="1" x14ac:dyDescent="0.25">
      <c r="A93" s="145">
        <v>3</v>
      </c>
      <c r="B93" s="660" t="s">
        <v>528</v>
      </c>
      <c r="C93" s="660"/>
      <c r="D93" s="293"/>
      <c r="E93" s="293"/>
      <c r="F93" s="293"/>
      <c r="G93" s="280"/>
      <c r="H93" s="281"/>
    </row>
    <row r="94" spans="1:31" x14ac:dyDescent="0.25">
      <c r="A94" s="608" t="s">
        <v>496</v>
      </c>
      <c r="B94" s="666"/>
      <c r="C94" s="609"/>
      <c r="D94" s="294"/>
      <c r="E94" s="280" t="s">
        <v>19</v>
      </c>
      <c r="F94" s="290">
        <f>F91</f>
        <v>947487.00282826624</v>
      </c>
      <c r="G94" s="280">
        <v>0</v>
      </c>
      <c r="H94" s="289">
        <f>H91</f>
        <v>947487.00282826624</v>
      </c>
    </row>
    <row r="95" spans="1:31" x14ac:dyDescent="0.25">
      <c r="A95" s="117"/>
      <c r="B95" s="117"/>
      <c r="C95" s="117"/>
      <c r="D95" s="117"/>
      <c r="E95" s="117"/>
      <c r="F95" s="117"/>
      <c r="G95" s="117"/>
    </row>
    <row r="96" spans="1:31" ht="49.5" customHeight="1" x14ac:dyDescent="0.25">
      <c r="A96" s="667" t="s">
        <v>529</v>
      </c>
      <c r="B96" s="667"/>
      <c r="C96" s="667"/>
      <c r="D96" s="667"/>
      <c r="E96" s="667"/>
      <c r="F96" s="667"/>
      <c r="G96" s="667"/>
      <c r="H96" s="667"/>
      <c r="I96" s="667"/>
      <c r="J96" s="667"/>
      <c r="K96" s="667"/>
    </row>
    <row r="97" spans="1:50" x14ac:dyDescent="0.25">
      <c r="A97" s="117"/>
      <c r="B97" s="117"/>
      <c r="C97" s="117"/>
      <c r="D97" s="117"/>
      <c r="E97" s="117"/>
      <c r="F97" s="117"/>
      <c r="G97" s="117"/>
    </row>
    <row r="98" spans="1:50" x14ac:dyDescent="0.25">
      <c r="A98" s="589" t="s">
        <v>530</v>
      </c>
      <c r="B98" s="589"/>
      <c r="C98" s="589"/>
      <c r="D98" s="589"/>
      <c r="E98" s="589"/>
      <c r="F98" s="589"/>
      <c r="G98" s="589"/>
      <c r="H98" s="589"/>
      <c r="I98" s="589"/>
      <c r="J98" s="589"/>
      <c r="K98" s="589"/>
    </row>
    <row r="99" spans="1:50" ht="17.25" customHeight="1" x14ac:dyDescent="0.25">
      <c r="A99" s="668" t="s">
        <v>531</v>
      </c>
      <c r="B99" s="668"/>
      <c r="C99" s="668"/>
      <c r="D99" s="668"/>
      <c r="E99" s="668"/>
      <c r="F99" s="117"/>
      <c r="G99" s="117"/>
    </row>
    <row r="100" spans="1:50" ht="15.75" customHeight="1" x14ac:dyDescent="0.25">
      <c r="B100" s="118" t="s">
        <v>532</v>
      </c>
      <c r="C100" s="118"/>
      <c r="K100" s="117"/>
      <c r="L100" s="117"/>
      <c r="M100" s="117"/>
      <c r="N100" s="117"/>
      <c r="O100" s="117"/>
      <c r="P100" s="117"/>
      <c r="Q100" s="117"/>
      <c r="R100" s="117"/>
      <c r="S100" s="117"/>
      <c r="T100" s="117"/>
      <c r="U100" s="117"/>
      <c r="V100" s="117"/>
      <c r="W100" s="117"/>
      <c r="X100" s="117"/>
      <c r="Y100" s="117"/>
      <c r="Z100" s="117"/>
      <c r="AA100" s="117"/>
      <c r="AB100" s="117"/>
      <c r="AC100" s="117"/>
      <c r="AD100" s="117"/>
      <c r="AE100" s="117"/>
    </row>
    <row r="101" spans="1:50" ht="15.75" customHeight="1" x14ac:dyDescent="0.25">
      <c r="B101" s="94"/>
      <c r="K101" s="117"/>
      <c r="L101" s="117"/>
      <c r="M101" s="117"/>
      <c r="N101" s="117"/>
      <c r="O101" s="117"/>
      <c r="P101" s="117"/>
      <c r="Q101" s="117"/>
      <c r="R101" s="117"/>
      <c r="S101" s="117"/>
      <c r="T101" s="117"/>
      <c r="U101" s="117"/>
      <c r="V101" s="117"/>
      <c r="W101" s="117"/>
      <c r="X101" s="117"/>
      <c r="Y101" s="117"/>
      <c r="Z101" s="117"/>
      <c r="AA101" s="117"/>
      <c r="AB101" s="117"/>
      <c r="AC101" s="117"/>
      <c r="AD101" s="117"/>
      <c r="AE101" s="117"/>
    </row>
    <row r="102" spans="1:50" ht="15.75" customHeight="1" x14ac:dyDescent="0.25">
      <c r="B102" s="118" t="s">
        <v>351</v>
      </c>
      <c r="C102" s="118"/>
      <c r="D102" s="118" t="s">
        <v>519</v>
      </c>
      <c r="E102" s="118"/>
      <c r="F102" s="118"/>
      <c r="G102" s="118"/>
      <c r="K102" s="117"/>
      <c r="L102" s="117"/>
      <c r="M102" s="117"/>
      <c r="N102" s="117"/>
      <c r="O102" s="117"/>
      <c r="P102" s="117"/>
      <c r="Q102" s="117"/>
      <c r="R102" s="117"/>
      <c r="S102" s="117"/>
      <c r="T102" s="117"/>
      <c r="U102" s="117"/>
      <c r="V102" s="117"/>
      <c r="W102" s="117"/>
      <c r="X102" s="117"/>
      <c r="Y102" s="117"/>
      <c r="Z102" s="117"/>
      <c r="AA102" s="117"/>
      <c r="AB102" s="117"/>
      <c r="AC102" s="117"/>
      <c r="AD102" s="117"/>
      <c r="AE102" s="117"/>
    </row>
    <row r="103" spans="1:50" ht="17.25" customHeight="1" x14ac:dyDescent="0.25">
      <c r="A103" s="201"/>
      <c r="B103" s="201"/>
      <c r="C103" s="201"/>
      <c r="D103" s="201"/>
      <c r="E103" s="201"/>
      <c r="F103" s="117"/>
      <c r="G103" s="117"/>
    </row>
    <row r="104" spans="1:50" x14ac:dyDescent="0.25">
      <c r="A104" s="635" t="s">
        <v>463</v>
      </c>
      <c r="B104" s="592" t="s">
        <v>9</v>
      </c>
      <c r="C104" s="592" t="s">
        <v>300</v>
      </c>
      <c r="D104" s="592" t="s">
        <v>520</v>
      </c>
      <c r="E104" s="663" t="s">
        <v>506</v>
      </c>
      <c r="F104" s="664"/>
      <c r="G104" s="665"/>
      <c r="H104" s="160"/>
    </row>
    <row r="105" spans="1:50" ht="48.75" customHeight="1" x14ac:dyDescent="0.25">
      <c r="A105" s="636"/>
      <c r="B105" s="592"/>
      <c r="C105" s="592"/>
      <c r="D105" s="592"/>
      <c r="E105" s="166" t="s">
        <v>521</v>
      </c>
      <c r="F105" s="367" t="s">
        <v>492</v>
      </c>
      <c r="G105" s="381" t="s">
        <v>466</v>
      </c>
      <c r="H105" s="169"/>
      <c r="I105" s="170"/>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17"/>
    </row>
    <row r="106" spans="1:50" ht="14.25" customHeight="1" x14ac:dyDescent="0.25">
      <c r="A106" s="142">
        <v>1</v>
      </c>
      <c r="B106" s="171">
        <v>2</v>
      </c>
      <c r="C106" s="171">
        <v>3</v>
      </c>
      <c r="D106" s="171">
        <v>4</v>
      </c>
      <c r="E106" s="171">
        <v>5</v>
      </c>
      <c r="F106" s="143">
        <v>6</v>
      </c>
      <c r="G106" s="142">
        <v>7</v>
      </c>
      <c r="H106" s="144"/>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17"/>
    </row>
    <row r="107" spans="1:50" x14ac:dyDescent="0.25">
      <c r="H107" s="172"/>
      <c r="I107" s="134"/>
      <c r="J107" s="134"/>
      <c r="K107" s="134"/>
      <c r="L107" s="134"/>
      <c r="M107" s="134"/>
      <c r="N107" s="134"/>
      <c r="O107" s="134"/>
      <c r="P107" s="134"/>
      <c r="Q107" s="134"/>
      <c r="R107" s="134"/>
      <c r="S107" s="134"/>
      <c r="T107" s="134"/>
      <c r="U107" s="134"/>
      <c r="V107" s="134"/>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17"/>
    </row>
    <row r="108" spans="1:50" x14ac:dyDescent="0.25">
      <c r="H108" s="172"/>
      <c r="I108" s="134"/>
      <c r="J108" s="134"/>
      <c r="K108" s="134"/>
      <c r="L108" s="134"/>
      <c r="M108" s="134"/>
      <c r="N108" s="134"/>
      <c r="O108" s="134"/>
      <c r="P108" s="134"/>
      <c r="Q108" s="134"/>
      <c r="R108" s="134"/>
      <c r="S108" s="134"/>
      <c r="T108" s="134"/>
      <c r="U108" s="134"/>
      <c r="V108" s="134"/>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17"/>
    </row>
    <row r="109" spans="1:50" x14ac:dyDescent="0.25">
      <c r="H109" s="172"/>
      <c r="I109" s="134"/>
      <c r="J109" s="134"/>
      <c r="K109" s="134"/>
      <c r="L109" s="134"/>
      <c r="M109" s="134"/>
      <c r="N109" s="134"/>
      <c r="O109" s="134"/>
      <c r="P109" s="134"/>
      <c r="Q109" s="134"/>
      <c r="R109" s="134"/>
      <c r="S109" s="134"/>
      <c r="T109" s="134"/>
      <c r="U109" s="134"/>
      <c r="V109" s="134"/>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17"/>
    </row>
    <row r="110" spans="1:50" x14ac:dyDescent="0.25">
      <c r="A110" s="173"/>
      <c r="B110" s="173"/>
      <c r="C110" s="172"/>
      <c r="D110" s="172"/>
      <c r="E110" s="172"/>
      <c r="F110" s="172"/>
      <c r="G110" s="172"/>
      <c r="H110" s="172"/>
      <c r="I110" s="134"/>
      <c r="J110" s="134"/>
      <c r="K110" s="134"/>
      <c r="L110" s="134"/>
      <c r="M110" s="134"/>
      <c r="N110" s="134"/>
      <c r="O110" s="134"/>
      <c r="P110" s="134"/>
      <c r="Q110" s="134"/>
      <c r="R110" s="134"/>
      <c r="S110" s="134"/>
      <c r="T110" s="134"/>
      <c r="U110" s="134"/>
      <c r="V110" s="134"/>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17"/>
    </row>
    <row r="111" spans="1:50" ht="36" customHeight="1" x14ac:dyDescent="0.25">
      <c r="A111" s="661" t="s">
        <v>533</v>
      </c>
      <c r="B111" s="661"/>
      <c r="C111" s="661"/>
      <c r="D111" s="661"/>
      <c r="E111" s="661"/>
      <c r="F111" s="661"/>
      <c r="G111" s="661"/>
      <c r="H111" s="661"/>
      <c r="I111" s="661"/>
      <c r="J111" s="661"/>
      <c r="K111" s="661"/>
      <c r="L111" s="134"/>
      <c r="M111" s="134"/>
      <c r="N111" s="134"/>
      <c r="O111" s="134"/>
      <c r="P111" s="134"/>
      <c r="Q111" s="134"/>
      <c r="R111" s="134"/>
      <c r="S111" s="134"/>
      <c r="T111" s="134"/>
      <c r="U111" s="134"/>
      <c r="V111" s="134"/>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17"/>
    </row>
    <row r="112" spans="1:50" x14ac:dyDescent="0.25">
      <c r="B112" s="94"/>
      <c r="I112" s="117"/>
      <c r="J112" s="174"/>
      <c r="K112" s="174"/>
    </row>
    <row r="113" spans="1:50" ht="15.75" customHeight="1" x14ac:dyDescent="0.25">
      <c r="A113" s="662" t="s">
        <v>534</v>
      </c>
      <c r="B113" s="662"/>
      <c r="C113" s="662"/>
      <c r="D113" s="662"/>
      <c r="E113" s="662"/>
      <c r="F113" s="662"/>
      <c r="G113" s="662"/>
      <c r="H113" s="662"/>
      <c r="I113" s="662"/>
      <c r="J113" s="662"/>
      <c r="K113" s="662"/>
      <c r="L113" s="175"/>
    </row>
    <row r="114" spans="1:50" ht="15.75" customHeight="1" x14ac:dyDescent="0.25">
      <c r="A114" s="200"/>
      <c r="B114" s="200"/>
      <c r="C114" s="200"/>
      <c r="D114" s="200"/>
      <c r="E114" s="200"/>
      <c r="F114" s="200"/>
      <c r="G114" s="200"/>
      <c r="H114" s="200"/>
      <c r="I114" s="200"/>
      <c r="J114" s="200"/>
      <c r="K114" s="200"/>
      <c r="L114" s="175"/>
    </row>
    <row r="115" spans="1:50" ht="15.75" customHeight="1" x14ac:dyDescent="0.25">
      <c r="B115" s="118" t="s">
        <v>532</v>
      </c>
      <c r="C115" s="118"/>
      <c r="K115" s="117"/>
      <c r="L115" s="117"/>
      <c r="M115" s="117"/>
      <c r="N115" s="117"/>
      <c r="O115" s="117"/>
      <c r="P115" s="117"/>
      <c r="Q115" s="117"/>
      <c r="R115" s="117"/>
      <c r="S115" s="117"/>
      <c r="T115" s="117"/>
      <c r="U115" s="117"/>
      <c r="V115" s="117"/>
      <c r="W115" s="117"/>
      <c r="X115" s="117"/>
      <c r="Y115" s="117"/>
      <c r="Z115" s="117"/>
      <c r="AA115" s="117"/>
      <c r="AB115" s="117"/>
      <c r="AC115" s="117"/>
      <c r="AD115" s="117"/>
      <c r="AE115" s="117"/>
    </row>
    <row r="116" spans="1:50" ht="15.75" customHeight="1" x14ac:dyDescent="0.25">
      <c r="B116" s="94"/>
      <c r="K116" s="117"/>
      <c r="L116" s="117"/>
      <c r="M116" s="117"/>
      <c r="N116" s="117"/>
      <c r="O116" s="117"/>
      <c r="P116" s="117"/>
      <c r="Q116" s="117"/>
      <c r="R116" s="117"/>
      <c r="S116" s="117"/>
      <c r="T116" s="117"/>
      <c r="U116" s="117"/>
      <c r="V116" s="117"/>
      <c r="W116" s="117"/>
      <c r="X116" s="117"/>
      <c r="Y116" s="117"/>
      <c r="Z116" s="117"/>
      <c r="AA116" s="117"/>
      <c r="AB116" s="117"/>
      <c r="AC116" s="117"/>
      <c r="AD116" s="117"/>
      <c r="AE116" s="117"/>
    </row>
    <row r="117" spans="1:50" ht="15.75" customHeight="1" x14ac:dyDescent="0.25">
      <c r="B117" s="118" t="s">
        <v>351</v>
      </c>
      <c r="C117" s="118"/>
      <c r="D117" s="118" t="s">
        <v>519</v>
      </c>
      <c r="E117" s="118"/>
      <c r="F117" s="118"/>
      <c r="G117" s="118"/>
      <c r="K117" s="117"/>
      <c r="L117" s="117"/>
      <c r="M117" s="117"/>
      <c r="N117" s="117"/>
      <c r="O117" s="117"/>
      <c r="P117" s="117"/>
      <c r="Q117" s="117"/>
      <c r="R117" s="117"/>
      <c r="S117" s="117"/>
      <c r="T117" s="117"/>
      <c r="U117" s="117"/>
      <c r="V117" s="117"/>
      <c r="W117" s="117"/>
      <c r="X117" s="117"/>
      <c r="Y117" s="117"/>
      <c r="Z117" s="117"/>
      <c r="AA117" s="117"/>
      <c r="AB117" s="117"/>
      <c r="AC117" s="117"/>
      <c r="AD117" s="117"/>
      <c r="AE117" s="117"/>
    </row>
    <row r="118" spans="1:50" ht="15.75" customHeight="1" x14ac:dyDescent="0.25">
      <c r="A118" s="207"/>
      <c r="B118" s="207"/>
      <c r="C118" s="207"/>
      <c r="D118" s="207"/>
      <c r="E118" s="207"/>
      <c r="F118" s="207"/>
      <c r="G118" s="175"/>
      <c r="H118" s="175"/>
      <c r="I118" s="175"/>
      <c r="J118" s="175"/>
      <c r="K118" s="175"/>
      <c r="L118" s="175"/>
    </row>
    <row r="119" spans="1:50" ht="15.75" customHeight="1" x14ac:dyDescent="0.25">
      <c r="A119" s="635" t="s">
        <v>463</v>
      </c>
      <c r="B119" s="592" t="s">
        <v>9</v>
      </c>
      <c r="C119" s="592" t="s">
        <v>300</v>
      </c>
      <c r="D119" s="592" t="s">
        <v>520</v>
      </c>
      <c r="E119" s="663" t="s">
        <v>506</v>
      </c>
      <c r="F119" s="664"/>
      <c r="G119" s="665"/>
      <c r="H119" s="160"/>
    </row>
    <row r="120" spans="1:50" ht="47.25" customHeight="1" x14ac:dyDescent="0.25">
      <c r="A120" s="636"/>
      <c r="B120" s="592"/>
      <c r="C120" s="592"/>
      <c r="D120" s="592"/>
      <c r="E120" s="166" t="s">
        <v>521</v>
      </c>
      <c r="F120" s="206" t="s">
        <v>492</v>
      </c>
      <c r="G120" s="206" t="s">
        <v>466</v>
      </c>
      <c r="H120" s="169"/>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17"/>
    </row>
    <row r="121" spans="1:50" ht="12" customHeight="1" x14ac:dyDescent="0.25">
      <c r="A121" s="176">
        <v>1</v>
      </c>
      <c r="B121" s="177">
        <v>2</v>
      </c>
      <c r="C121" s="177">
        <v>3</v>
      </c>
      <c r="D121" s="177">
        <v>4</v>
      </c>
      <c r="E121" s="171">
        <v>5</v>
      </c>
      <c r="F121" s="142">
        <v>6</v>
      </c>
      <c r="G121" s="142">
        <v>7</v>
      </c>
      <c r="H121" s="144"/>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17"/>
    </row>
    <row r="122" spans="1:50" x14ac:dyDescent="0.25">
      <c r="A122" s="210"/>
      <c r="B122" s="121"/>
      <c r="C122" s="125"/>
      <c r="D122" s="125"/>
      <c r="E122" s="164"/>
      <c r="F122" s="164"/>
      <c r="G122" s="164"/>
      <c r="H122" s="172"/>
      <c r="I122" s="134"/>
      <c r="J122" s="134"/>
      <c r="K122" s="134"/>
      <c r="L122" s="134"/>
      <c r="M122" s="134"/>
      <c r="N122" s="134"/>
      <c r="O122" s="134"/>
      <c r="P122" s="134"/>
      <c r="Q122" s="134"/>
      <c r="R122" s="134"/>
      <c r="S122" s="134"/>
      <c r="T122" s="134"/>
      <c r="U122" s="134"/>
      <c r="V122" s="134"/>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17"/>
    </row>
    <row r="123" spans="1:50" x14ac:dyDescent="0.25">
      <c r="A123" s="210"/>
      <c r="B123" s="121"/>
      <c r="C123" s="125"/>
      <c r="D123" s="125"/>
      <c r="E123" s="164"/>
      <c r="F123" s="164"/>
      <c r="G123" s="164"/>
      <c r="H123" s="172"/>
      <c r="I123" s="134"/>
      <c r="J123" s="134"/>
      <c r="K123" s="134"/>
      <c r="L123" s="134"/>
      <c r="M123" s="134"/>
      <c r="N123" s="134"/>
      <c r="O123" s="134"/>
      <c r="P123" s="134"/>
      <c r="Q123" s="134"/>
      <c r="R123" s="134"/>
      <c r="S123" s="134"/>
      <c r="T123" s="134"/>
      <c r="U123" s="134"/>
      <c r="V123" s="134"/>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17"/>
    </row>
    <row r="124" spans="1:50" x14ac:dyDescent="0.25">
      <c r="A124" s="608" t="s">
        <v>496</v>
      </c>
      <c r="B124" s="609"/>
      <c r="C124" s="125" t="s">
        <v>19</v>
      </c>
      <c r="D124" s="125" t="s">
        <v>19</v>
      </c>
      <c r="E124" s="378">
        <v>0</v>
      </c>
      <c r="F124" s="378">
        <v>0</v>
      </c>
      <c r="G124" s="378">
        <v>0</v>
      </c>
      <c r="H124" s="172"/>
      <c r="I124" s="134"/>
      <c r="J124" s="134"/>
      <c r="K124" s="134"/>
      <c r="L124" s="134"/>
      <c r="M124" s="134"/>
      <c r="N124" s="134"/>
      <c r="O124" s="134"/>
      <c r="P124" s="134"/>
      <c r="Q124" s="134"/>
      <c r="R124" s="134"/>
      <c r="S124" s="134"/>
      <c r="T124" s="134"/>
      <c r="U124" s="134"/>
      <c r="V124" s="134"/>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17"/>
    </row>
    <row r="125" spans="1:50" x14ac:dyDescent="0.25">
      <c r="A125" s="147"/>
      <c r="B125" s="117"/>
      <c r="C125" s="147"/>
      <c r="D125" s="147"/>
      <c r="E125" s="147"/>
      <c r="F125" s="147"/>
      <c r="G125" s="117"/>
      <c r="H125" s="174"/>
      <c r="I125" s="174"/>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row>
    <row r="126" spans="1:50" ht="39" customHeight="1" x14ac:dyDescent="0.25">
      <c r="A126" s="667" t="s">
        <v>535</v>
      </c>
      <c r="B126" s="667"/>
      <c r="C126" s="667"/>
      <c r="D126" s="667"/>
      <c r="E126" s="667"/>
      <c r="F126" s="667"/>
      <c r="G126" s="667"/>
      <c r="H126" s="667"/>
      <c r="I126" s="667"/>
      <c r="J126" s="667"/>
      <c r="K126" s="66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row>
    <row r="127" spans="1:50" x14ac:dyDescent="0.25">
      <c r="A127" s="147"/>
      <c r="B127" s="117"/>
      <c r="C127" s="147"/>
      <c r="D127" s="147"/>
      <c r="E127" s="147"/>
      <c r="F127" s="147"/>
      <c r="G127" s="117"/>
      <c r="H127" s="174"/>
      <c r="I127" s="174"/>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row>
    <row r="128" spans="1:50" x14ac:dyDescent="0.25">
      <c r="A128" s="589" t="s">
        <v>536</v>
      </c>
      <c r="B128" s="589"/>
      <c r="C128" s="589"/>
      <c r="D128" s="589"/>
      <c r="E128" s="589"/>
      <c r="F128" s="589"/>
      <c r="G128" s="589"/>
      <c r="H128" s="589"/>
      <c r="I128" s="589"/>
      <c r="J128" s="589"/>
      <c r="K128" s="589"/>
    </row>
    <row r="129" spans="1:36" x14ac:dyDescent="0.25">
      <c r="A129" s="147"/>
      <c r="B129" s="117"/>
      <c r="C129" s="147"/>
      <c r="D129" s="147"/>
      <c r="E129" s="147"/>
      <c r="F129" s="147"/>
      <c r="G129" s="117"/>
      <c r="H129" s="174"/>
      <c r="I129" s="174"/>
      <c r="J129" s="117"/>
    </row>
    <row r="130" spans="1:36" ht="15.75" customHeight="1" x14ac:dyDescent="0.25">
      <c r="B130" s="118" t="s">
        <v>537</v>
      </c>
      <c r="C130" s="118"/>
      <c r="K130" s="117"/>
      <c r="L130" s="117"/>
      <c r="M130" s="117"/>
      <c r="N130" s="117"/>
      <c r="O130" s="117"/>
      <c r="P130" s="117"/>
      <c r="Q130" s="117"/>
      <c r="R130" s="117"/>
      <c r="S130" s="117"/>
      <c r="T130" s="117"/>
      <c r="U130" s="117"/>
      <c r="V130" s="117"/>
      <c r="W130" s="117"/>
      <c r="X130" s="117"/>
      <c r="Y130" s="117"/>
      <c r="Z130" s="117"/>
      <c r="AA130" s="117"/>
      <c r="AB130" s="117"/>
      <c r="AC130" s="117"/>
      <c r="AD130" s="117"/>
      <c r="AE130" s="117"/>
    </row>
    <row r="131" spans="1:36" ht="15.75" customHeight="1" x14ac:dyDescent="0.25">
      <c r="B131" s="94"/>
      <c r="K131" s="117"/>
      <c r="L131" s="117"/>
      <c r="M131" s="117"/>
      <c r="N131" s="117"/>
      <c r="O131" s="117"/>
      <c r="P131" s="117"/>
      <c r="Q131" s="117"/>
      <c r="R131" s="117"/>
      <c r="S131" s="117"/>
      <c r="T131" s="117"/>
      <c r="U131" s="117"/>
      <c r="V131" s="117"/>
      <c r="W131" s="117"/>
      <c r="X131" s="117"/>
      <c r="Y131" s="117"/>
      <c r="Z131" s="117"/>
      <c r="AA131" s="117"/>
      <c r="AB131" s="117"/>
      <c r="AC131" s="117"/>
      <c r="AD131" s="117"/>
      <c r="AE131" s="117"/>
    </row>
    <row r="132" spans="1:36" ht="15.75" customHeight="1" x14ac:dyDescent="0.25">
      <c r="B132" s="118" t="s">
        <v>351</v>
      </c>
      <c r="C132" s="118"/>
      <c r="D132" s="118" t="s">
        <v>519</v>
      </c>
      <c r="E132" s="118"/>
      <c r="F132" s="118"/>
      <c r="G132" s="118"/>
      <c r="K132" s="117"/>
      <c r="L132" s="117"/>
      <c r="M132" s="117"/>
      <c r="N132" s="117"/>
      <c r="O132" s="117"/>
      <c r="P132" s="117"/>
      <c r="Q132" s="117"/>
      <c r="R132" s="117"/>
      <c r="S132" s="117"/>
      <c r="T132" s="117"/>
      <c r="U132" s="117"/>
      <c r="V132" s="117"/>
      <c r="W132" s="117"/>
      <c r="X132" s="117"/>
      <c r="Y132" s="117"/>
      <c r="Z132" s="117"/>
      <c r="AA132" s="117"/>
      <c r="AB132" s="117"/>
      <c r="AC132" s="117"/>
      <c r="AD132" s="117"/>
      <c r="AE132" s="117"/>
    </row>
    <row r="133" spans="1:36" x14ac:dyDescent="0.25">
      <c r="A133" s="147"/>
      <c r="B133" s="117"/>
      <c r="C133" s="147"/>
      <c r="D133" s="147"/>
      <c r="E133" s="147"/>
      <c r="F133" s="147"/>
      <c r="G133" s="117"/>
      <c r="H133" s="174"/>
      <c r="I133" s="174"/>
      <c r="J133" s="117"/>
    </row>
    <row r="134" spans="1:36" x14ac:dyDescent="0.25">
      <c r="A134" s="147"/>
      <c r="B134" s="138" t="s">
        <v>538</v>
      </c>
      <c r="C134" s="147"/>
      <c r="D134" s="147"/>
      <c r="E134" s="147"/>
      <c r="F134" s="147"/>
      <c r="G134" s="117"/>
      <c r="H134" s="174"/>
      <c r="I134" s="174"/>
      <c r="J134" s="117"/>
    </row>
    <row r="135" spans="1:36" x14ac:dyDescent="0.25">
      <c r="A135" s="178"/>
      <c r="B135" s="178"/>
      <c r="C135" s="178"/>
      <c r="D135" s="178"/>
      <c r="E135" s="147"/>
      <c r="F135" s="147"/>
      <c r="G135" s="117"/>
      <c r="H135" s="174"/>
      <c r="I135" s="174"/>
      <c r="J135" s="117"/>
    </row>
    <row r="136" spans="1:36" ht="22.5" customHeight="1" x14ac:dyDescent="0.25">
      <c r="A136" s="635" t="s">
        <v>463</v>
      </c>
      <c r="B136" s="592" t="s">
        <v>281</v>
      </c>
      <c r="C136" s="592" t="s">
        <v>312</v>
      </c>
      <c r="D136" s="592" t="s">
        <v>313</v>
      </c>
      <c r="E136" s="592" t="s">
        <v>314</v>
      </c>
      <c r="F136" s="663" t="s">
        <v>506</v>
      </c>
      <c r="G136" s="664"/>
      <c r="H136" s="665"/>
      <c r="I136" s="160"/>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row>
    <row r="137" spans="1:36" ht="56.25" customHeight="1" x14ac:dyDescent="0.25">
      <c r="A137" s="636"/>
      <c r="B137" s="592"/>
      <c r="C137" s="592"/>
      <c r="D137" s="592"/>
      <c r="E137" s="592"/>
      <c r="F137" s="205" t="s">
        <v>539</v>
      </c>
      <c r="G137" s="400" t="s">
        <v>492</v>
      </c>
      <c r="H137" s="399" t="s">
        <v>466</v>
      </c>
      <c r="I137" s="169"/>
      <c r="J137" s="151"/>
      <c r="K137" s="151"/>
      <c r="L137" s="151" t="s">
        <v>799</v>
      </c>
      <c r="M137" s="151"/>
      <c r="N137" s="151"/>
      <c r="O137" s="151"/>
      <c r="P137" s="151"/>
      <c r="Q137" s="151"/>
      <c r="R137" s="151"/>
      <c r="S137" s="151"/>
      <c r="T137" s="151"/>
      <c r="U137" s="151"/>
      <c r="V137" s="179"/>
      <c r="W137" s="179"/>
      <c r="X137" s="179"/>
      <c r="Y137" s="179"/>
      <c r="Z137" s="179"/>
      <c r="AA137" s="179"/>
      <c r="AB137" s="179"/>
      <c r="AC137" s="179"/>
      <c r="AD137" s="179"/>
      <c r="AE137" s="179"/>
      <c r="AF137" s="179"/>
      <c r="AG137" s="179"/>
      <c r="AH137" s="179"/>
      <c r="AI137" s="179"/>
      <c r="AJ137" s="117"/>
    </row>
    <row r="138" spans="1:36" x14ac:dyDescent="0.25">
      <c r="A138" s="124">
        <v>1</v>
      </c>
      <c r="B138" s="124">
        <v>2</v>
      </c>
      <c r="C138" s="124">
        <v>3</v>
      </c>
      <c r="D138" s="124">
        <v>4</v>
      </c>
      <c r="E138" s="124">
        <v>5</v>
      </c>
      <c r="F138" s="127">
        <v>6</v>
      </c>
      <c r="G138" s="143">
        <v>7</v>
      </c>
      <c r="H138" s="142">
        <v>8</v>
      </c>
      <c r="I138" s="144"/>
      <c r="J138" s="128"/>
      <c r="K138" s="128"/>
      <c r="L138" s="128"/>
      <c r="M138" s="128"/>
      <c r="N138" s="128"/>
      <c r="O138" s="128"/>
      <c r="P138" s="128"/>
      <c r="Q138" s="128"/>
      <c r="R138" s="128"/>
      <c r="S138" s="128"/>
      <c r="T138" s="128"/>
      <c r="U138" s="128"/>
      <c r="V138" s="180"/>
      <c r="W138" s="180"/>
      <c r="X138" s="180"/>
      <c r="Y138" s="180"/>
      <c r="Z138" s="180"/>
      <c r="AA138" s="180"/>
      <c r="AB138" s="180"/>
      <c r="AC138" s="180"/>
      <c r="AD138" s="180"/>
      <c r="AE138" s="180"/>
      <c r="AF138" s="180"/>
      <c r="AG138" s="180"/>
      <c r="AH138" s="180"/>
      <c r="AI138" s="180"/>
      <c r="AJ138" s="117"/>
    </row>
    <row r="139" spans="1:36" x14ac:dyDescent="0.25">
      <c r="A139" s="401">
        <v>1</v>
      </c>
      <c r="B139" s="295" t="s">
        <v>673</v>
      </c>
      <c r="C139" s="164">
        <v>1</v>
      </c>
      <c r="D139" s="164">
        <v>12</v>
      </c>
      <c r="E139" s="294">
        <f>F139/12</f>
        <v>4402.416666666667</v>
      </c>
      <c r="F139" s="296">
        <f>H139</f>
        <v>52829</v>
      </c>
      <c r="G139" s="294"/>
      <c r="H139" s="294">
        <f>53280-H141</f>
        <v>52829</v>
      </c>
      <c r="I139" s="172"/>
      <c r="J139" s="134"/>
      <c r="K139" s="134"/>
      <c r="L139" s="134"/>
      <c r="M139" s="134"/>
      <c r="N139" s="134"/>
      <c r="O139" s="134"/>
      <c r="P139" s="134"/>
      <c r="Q139" s="134"/>
      <c r="R139" s="134"/>
      <c r="S139" s="134"/>
      <c r="T139" s="134"/>
      <c r="U139" s="134"/>
      <c r="V139" s="179"/>
      <c r="W139" s="179"/>
      <c r="X139" s="179"/>
      <c r="Y139" s="179"/>
      <c r="Z139" s="179"/>
      <c r="AA139" s="179"/>
      <c r="AB139" s="179"/>
      <c r="AC139" s="179"/>
      <c r="AD139" s="179"/>
      <c r="AE139" s="179"/>
      <c r="AF139" s="179"/>
      <c r="AG139" s="179"/>
      <c r="AH139" s="179"/>
      <c r="AI139" s="179"/>
      <c r="AJ139" s="117"/>
    </row>
    <row r="140" spans="1:36" ht="15.75" customHeight="1" x14ac:dyDescent="0.25">
      <c r="A140" s="401">
        <v>2</v>
      </c>
      <c r="B140" s="295" t="s">
        <v>674</v>
      </c>
      <c r="C140" s="164">
        <v>1</v>
      </c>
      <c r="D140" s="164">
        <v>12</v>
      </c>
      <c r="E140" s="294">
        <f>F140/12</f>
        <v>17047.34</v>
      </c>
      <c r="F140" s="296">
        <f>G140</f>
        <v>204568.08</v>
      </c>
      <c r="G140" s="296">
        <v>204568.08</v>
      </c>
      <c r="H140" s="164"/>
      <c r="I140" s="172"/>
      <c r="J140" s="134"/>
      <c r="K140" s="134"/>
      <c r="L140" s="134"/>
      <c r="M140" s="134"/>
      <c r="N140" s="134"/>
      <c r="O140" s="134"/>
      <c r="P140" s="134"/>
      <c r="Q140" s="134"/>
      <c r="R140" s="134"/>
      <c r="S140" s="134"/>
      <c r="T140" s="134"/>
      <c r="U140" s="134"/>
      <c r="V140" s="179"/>
      <c r="W140" s="179"/>
      <c r="X140" s="179"/>
      <c r="Y140" s="179"/>
      <c r="Z140" s="179"/>
      <c r="AA140" s="179"/>
      <c r="AB140" s="179"/>
      <c r="AC140" s="179"/>
      <c r="AD140" s="179"/>
      <c r="AE140" s="179"/>
      <c r="AF140" s="179"/>
      <c r="AG140" s="179"/>
      <c r="AH140" s="179"/>
      <c r="AI140" s="179"/>
      <c r="AJ140" s="117"/>
    </row>
    <row r="141" spans="1:36" ht="100.5" customHeight="1" x14ac:dyDescent="0.25">
      <c r="A141" s="397">
        <v>3</v>
      </c>
      <c r="B141" s="404" t="s">
        <v>805</v>
      </c>
      <c r="C141" s="404"/>
      <c r="D141" s="404"/>
      <c r="E141" s="404"/>
      <c r="F141" s="280">
        <f>H141</f>
        <v>451</v>
      </c>
      <c r="G141" s="280"/>
      <c r="H141" s="281">
        <v>451</v>
      </c>
      <c r="I141" s="172"/>
      <c r="J141" s="134"/>
      <c r="K141" s="134"/>
      <c r="L141" s="134"/>
      <c r="M141" s="134"/>
      <c r="N141" s="134"/>
      <c r="O141" s="134"/>
      <c r="P141" s="134"/>
      <c r="Q141" s="134"/>
      <c r="R141" s="134"/>
      <c r="S141" s="134"/>
      <c r="T141" s="134"/>
      <c r="U141" s="134"/>
      <c r="V141" s="181"/>
      <c r="W141" s="181"/>
      <c r="X141" s="181"/>
      <c r="Y141" s="181"/>
      <c r="Z141" s="181"/>
      <c r="AA141" s="181"/>
      <c r="AB141" s="181"/>
      <c r="AC141" s="181"/>
      <c r="AD141" s="181"/>
      <c r="AE141" s="181"/>
      <c r="AF141" s="181"/>
      <c r="AG141" s="181"/>
      <c r="AH141" s="181"/>
      <c r="AI141" s="181"/>
      <c r="AJ141" s="117"/>
    </row>
    <row r="142" spans="1:36" x14ac:dyDescent="0.25">
      <c r="A142" s="608" t="s">
        <v>496</v>
      </c>
      <c r="B142" s="609"/>
      <c r="C142" s="164" t="s">
        <v>19</v>
      </c>
      <c r="D142" s="164" t="s">
        <v>19</v>
      </c>
      <c r="E142" s="294" t="s">
        <v>19</v>
      </c>
      <c r="F142" s="290">
        <f>G142+H142</f>
        <v>257848.08</v>
      </c>
      <c r="G142" s="297">
        <f>G140</f>
        <v>204568.08</v>
      </c>
      <c r="H142" s="290">
        <f>H139+H141</f>
        <v>53280</v>
      </c>
      <c r="I142" s="172"/>
      <c r="J142" s="134"/>
      <c r="K142" s="134"/>
      <c r="L142" s="134"/>
      <c r="M142" s="134"/>
      <c r="N142" s="134"/>
      <c r="O142" s="134"/>
      <c r="P142" s="134"/>
      <c r="Q142" s="134"/>
      <c r="R142" s="134"/>
      <c r="S142" s="134"/>
      <c r="T142" s="134"/>
      <c r="U142" s="134"/>
      <c r="V142" s="181"/>
      <c r="W142" s="181"/>
      <c r="X142" s="181"/>
      <c r="Y142" s="181"/>
      <c r="Z142" s="181"/>
      <c r="AA142" s="181"/>
      <c r="AB142" s="181"/>
      <c r="AC142" s="181"/>
      <c r="AD142" s="181"/>
      <c r="AE142" s="181"/>
      <c r="AF142" s="181"/>
      <c r="AG142" s="181"/>
      <c r="AH142" s="181"/>
      <c r="AI142" s="181"/>
      <c r="AJ142" s="117"/>
    </row>
    <row r="143" spans="1:36" x14ac:dyDescent="0.25">
      <c r="A143" s="147"/>
      <c r="B143" s="117"/>
      <c r="C143" s="147"/>
      <c r="D143" s="147"/>
      <c r="E143" s="147"/>
      <c r="F143" s="147"/>
      <c r="G143" s="117"/>
      <c r="H143" s="174"/>
      <c r="I143" s="174"/>
      <c r="J143" s="117"/>
    </row>
    <row r="144" spans="1:36" ht="151.5" customHeight="1" x14ac:dyDescent="0.25">
      <c r="A144" s="667" t="s">
        <v>541</v>
      </c>
      <c r="B144" s="667"/>
      <c r="C144" s="667"/>
      <c r="D144" s="667"/>
      <c r="E144" s="667"/>
      <c r="F144" s="667"/>
      <c r="G144" s="667"/>
      <c r="H144" s="667"/>
      <c r="I144" s="667"/>
      <c r="J144" s="667"/>
      <c r="K144" s="667"/>
    </row>
    <row r="145" spans="1:11" x14ac:dyDescent="0.25">
      <c r="A145" s="147"/>
      <c r="B145" s="117"/>
      <c r="C145" s="147"/>
      <c r="D145" s="147"/>
      <c r="E145" s="147"/>
      <c r="F145" s="147"/>
      <c r="G145" s="117"/>
      <c r="H145" s="174"/>
      <c r="I145" s="174"/>
      <c r="J145" s="117"/>
    </row>
    <row r="146" spans="1:11" x14ac:dyDescent="0.25">
      <c r="A146" s="178"/>
      <c r="B146" s="178" t="s">
        <v>542</v>
      </c>
      <c r="C146" s="178"/>
      <c r="D146" s="178"/>
      <c r="E146" s="178"/>
      <c r="F146" s="147"/>
      <c r="G146" s="117"/>
      <c r="H146" s="174"/>
      <c r="I146" s="174"/>
      <c r="J146" s="117"/>
    </row>
    <row r="147" spans="1:11" x14ac:dyDescent="0.25">
      <c r="A147" s="147"/>
      <c r="B147" s="117"/>
      <c r="C147" s="147"/>
      <c r="D147" s="147"/>
      <c r="E147" s="147"/>
      <c r="F147" s="147"/>
      <c r="G147" s="117"/>
      <c r="H147" s="174"/>
      <c r="I147" s="174"/>
      <c r="J147" s="117"/>
    </row>
    <row r="148" spans="1:11" x14ac:dyDescent="0.25">
      <c r="A148" s="635" t="s">
        <v>463</v>
      </c>
      <c r="B148" s="592" t="s">
        <v>281</v>
      </c>
      <c r="C148" s="592" t="s">
        <v>543</v>
      </c>
      <c r="D148" s="592" t="s">
        <v>544</v>
      </c>
      <c r="E148" s="663" t="s">
        <v>506</v>
      </c>
      <c r="F148" s="664"/>
      <c r="G148" s="665"/>
      <c r="H148" s="160"/>
      <c r="I148" s="174"/>
      <c r="J148" s="117"/>
    </row>
    <row r="149" spans="1:11" ht="31.5" x14ac:dyDescent="0.25">
      <c r="A149" s="636"/>
      <c r="B149" s="592"/>
      <c r="C149" s="592"/>
      <c r="D149" s="592"/>
      <c r="E149" s="166" t="s">
        <v>545</v>
      </c>
      <c r="F149" s="167" t="s">
        <v>492</v>
      </c>
      <c r="G149" s="206" t="s">
        <v>466</v>
      </c>
      <c r="H149" s="169"/>
      <c r="I149" s="174"/>
      <c r="J149" s="117"/>
    </row>
    <row r="150" spans="1:11" x14ac:dyDescent="0.25">
      <c r="A150" s="176">
        <v>1</v>
      </c>
      <c r="B150" s="177">
        <v>2</v>
      </c>
      <c r="C150" s="177">
        <v>3</v>
      </c>
      <c r="D150" s="177">
        <v>4</v>
      </c>
      <c r="E150" s="171">
        <v>5</v>
      </c>
      <c r="F150" s="143">
        <v>6</v>
      </c>
      <c r="G150" s="142">
        <v>7</v>
      </c>
      <c r="H150" s="144"/>
      <c r="I150" s="174"/>
      <c r="J150" s="117"/>
    </row>
    <row r="151" spans="1:11" x14ac:dyDescent="0.25">
      <c r="A151" s="210"/>
      <c r="B151" s="121"/>
      <c r="C151" s="125"/>
      <c r="D151" s="125"/>
      <c r="E151" s="164"/>
      <c r="F151" s="158"/>
      <c r="G151" s="164"/>
      <c r="H151" s="172"/>
      <c r="I151" s="174"/>
      <c r="J151" s="117"/>
    </row>
    <row r="152" spans="1:11" x14ac:dyDescent="0.25">
      <c r="A152" s="210"/>
      <c r="B152" s="121"/>
      <c r="C152" s="125"/>
      <c r="D152" s="125"/>
      <c r="E152" s="164"/>
      <c r="F152" s="158"/>
      <c r="G152" s="164"/>
      <c r="H152" s="172"/>
      <c r="I152" s="174"/>
      <c r="J152" s="117"/>
    </row>
    <row r="153" spans="1:11" x14ac:dyDescent="0.25">
      <c r="A153" s="608" t="s">
        <v>496</v>
      </c>
      <c r="B153" s="609"/>
      <c r="C153" s="125" t="s">
        <v>19</v>
      </c>
      <c r="D153" s="125" t="s">
        <v>19</v>
      </c>
      <c r="E153" s="378">
        <v>0</v>
      </c>
      <c r="F153" s="379">
        <v>0</v>
      </c>
      <c r="G153" s="378">
        <v>0</v>
      </c>
      <c r="H153" s="172"/>
      <c r="I153" s="174"/>
      <c r="J153" s="117"/>
    </row>
    <row r="154" spans="1:11" x14ac:dyDescent="0.25">
      <c r="A154" s="147"/>
      <c r="B154" s="117"/>
      <c r="C154" s="147"/>
      <c r="D154" s="147"/>
      <c r="E154" s="147"/>
      <c r="F154" s="147"/>
      <c r="G154" s="117"/>
      <c r="H154" s="174"/>
      <c r="I154" s="174"/>
      <c r="J154" s="117"/>
    </row>
    <row r="155" spans="1:11" ht="36" customHeight="1" x14ac:dyDescent="0.25">
      <c r="A155" s="669" t="s">
        <v>546</v>
      </c>
      <c r="B155" s="669"/>
      <c r="C155" s="669"/>
      <c r="D155" s="669"/>
      <c r="E155" s="669"/>
      <c r="F155" s="669"/>
      <c r="G155" s="669"/>
      <c r="H155" s="669"/>
      <c r="I155" s="669"/>
      <c r="J155" s="669"/>
      <c r="K155" s="669"/>
    </row>
    <row r="156" spans="1:11" x14ac:dyDescent="0.25">
      <c r="A156" s="147"/>
      <c r="B156" s="117"/>
      <c r="C156" s="147"/>
      <c r="D156" s="147"/>
      <c r="E156" s="147"/>
      <c r="F156" s="147"/>
      <c r="G156" s="117"/>
      <c r="H156" s="174"/>
      <c r="I156" s="174"/>
      <c r="J156" s="117"/>
    </row>
    <row r="157" spans="1:11" x14ac:dyDescent="0.25">
      <c r="A157" s="178"/>
      <c r="B157" s="178" t="s">
        <v>547</v>
      </c>
      <c r="C157" s="178"/>
      <c r="D157" s="178"/>
      <c r="E157" s="178"/>
      <c r="F157" s="178"/>
      <c r="G157" s="117"/>
      <c r="H157" s="174"/>
      <c r="I157" s="174"/>
      <c r="J157" s="117"/>
    </row>
    <row r="158" spans="1:11" x14ac:dyDescent="0.25">
      <c r="A158" s="147"/>
      <c r="B158" s="117"/>
      <c r="C158" s="147"/>
      <c r="D158" s="147"/>
      <c r="E158" s="147"/>
      <c r="F158" s="147"/>
      <c r="G158" s="117"/>
      <c r="H158" s="174"/>
      <c r="I158" s="174"/>
      <c r="J158" s="117"/>
    </row>
    <row r="159" spans="1:11" ht="15.75" customHeight="1" x14ac:dyDescent="0.25">
      <c r="A159" s="635" t="s">
        <v>463</v>
      </c>
      <c r="B159" s="592" t="s">
        <v>9</v>
      </c>
      <c r="C159" s="592" t="s">
        <v>319</v>
      </c>
      <c r="D159" s="592" t="s">
        <v>548</v>
      </c>
      <c r="E159" s="592" t="s">
        <v>549</v>
      </c>
      <c r="F159" s="663" t="s">
        <v>506</v>
      </c>
      <c r="G159" s="664"/>
      <c r="H159" s="665"/>
      <c r="I159" s="160"/>
      <c r="J159" s="117"/>
    </row>
    <row r="160" spans="1:11" ht="47.25" x14ac:dyDescent="0.25">
      <c r="A160" s="636"/>
      <c r="B160" s="592"/>
      <c r="C160" s="592"/>
      <c r="D160" s="592"/>
      <c r="E160" s="592"/>
      <c r="F160" s="393" t="s">
        <v>539</v>
      </c>
      <c r="G160" s="396" t="s">
        <v>492</v>
      </c>
      <c r="H160" s="396" t="s">
        <v>466</v>
      </c>
      <c r="I160" s="169"/>
      <c r="J160" s="117"/>
    </row>
    <row r="161" spans="1:11" x14ac:dyDescent="0.25">
      <c r="A161" s="124">
        <v>1</v>
      </c>
      <c r="B161" s="124">
        <v>2</v>
      </c>
      <c r="C161" s="124">
        <v>3</v>
      </c>
      <c r="D161" s="124">
        <v>4</v>
      </c>
      <c r="E161" s="124">
        <v>5</v>
      </c>
      <c r="F161" s="127">
        <v>6</v>
      </c>
      <c r="G161" s="142">
        <v>7</v>
      </c>
      <c r="H161" s="142">
        <v>8</v>
      </c>
      <c r="I161" s="144"/>
      <c r="J161" s="117"/>
    </row>
    <row r="162" spans="1:11" ht="38.25" x14ac:dyDescent="0.25">
      <c r="A162" s="298" t="s">
        <v>448</v>
      </c>
      <c r="B162" s="398" t="s">
        <v>677</v>
      </c>
      <c r="C162" s="280">
        <v>3230.6615725115917</v>
      </c>
      <c r="D162" s="280">
        <v>76.81</v>
      </c>
      <c r="E162" s="380">
        <v>1.04</v>
      </c>
      <c r="F162" s="281">
        <f t="shared" ref="F162:F163" si="1">C162*D162*E162</f>
        <v>258073</v>
      </c>
      <c r="G162" s="294"/>
      <c r="H162" s="294">
        <v>258073</v>
      </c>
      <c r="I162" s="172"/>
      <c r="J162" s="117"/>
    </row>
    <row r="163" spans="1:11" x14ac:dyDescent="0.25">
      <c r="A163" s="298" t="s">
        <v>80</v>
      </c>
      <c r="B163" s="398" t="s">
        <v>694</v>
      </c>
      <c r="C163" s="280">
        <v>16.424470608981814</v>
      </c>
      <c r="D163" s="280">
        <v>5538.1588295049341</v>
      </c>
      <c r="E163" s="380">
        <v>1.04</v>
      </c>
      <c r="F163" s="281">
        <f t="shared" si="1"/>
        <v>94599.779999999984</v>
      </c>
      <c r="G163" s="294"/>
      <c r="H163" s="294">
        <f>96000-H164</f>
        <v>94599.78</v>
      </c>
      <c r="I163" s="172"/>
      <c r="J163" s="117"/>
    </row>
    <row r="164" spans="1:11" ht="63.75" x14ac:dyDescent="0.25">
      <c r="A164" s="298" t="s">
        <v>161</v>
      </c>
      <c r="B164" s="398" t="s">
        <v>806</v>
      </c>
      <c r="C164" s="280"/>
      <c r="D164" s="280"/>
      <c r="E164" s="380"/>
      <c r="F164" s="281">
        <f>H164</f>
        <v>1400.22</v>
      </c>
      <c r="G164" s="281"/>
      <c r="H164" s="281">
        <v>1400.22</v>
      </c>
      <c r="I164" s="172"/>
      <c r="J164" s="117"/>
    </row>
    <row r="165" spans="1:11" x14ac:dyDescent="0.25">
      <c r="A165" s="650" t="s">
        <v>540</v>
      </c>
      <c r="B165" s="652"/>
      <c r="C165" s="132" t="s">
        <v>19</v>
      </c>
      <c r="D165" s="132" t="s">
        <v>19</v>
      </c>
      <c r="E165" s="132" t="s">
        <v>19</v>
      </c>
      <c r="F165" s="289">
        <f>H165+G165</f>
        <v>354073</v>
      </c>
      <c r="G165" s="290">
        <v>0</v>
      </c>
      <c r="H165" s="290">
        <f>SUM(H162:H164)</f>
        <v>354073</v>
      </c>
      <c r="I165" s="172"/>
      <c r="J165" s="117"/>
    </row>
    <row r="166" spans="1:11" x14ac:dyDescent="0.25">
      <c r="A166" s="147"/>
      <c r="B166" s="117"/>
      <c r="C166" s="147"/>
      <c r="D166" s="147"/>
      <c r="E166" s="147"/>
      <c r="F166" s="147"/>
      <c r="G166" s="117"/>
      <c r="H166" s="174"/>
      <c r="I166" s="174"/>
      <c r="J166" s="117"/>
    </row>
    <row r="167" spans="1:11" ht="66.75" customHeight="1" x14ac:dyDescent="0.25">
      <c r="A167" s="667" t="s">
        <v>550</v>
      </c>
      <c r="B167" s="669"/>
      <c r="C167" s="669"/>
      <c r="D167" s="669"/>
      <c r="E167" s="669"/>
      <c r="F167" s="669"/>
      <c r="G167" s="669"/>
      <c r="H167" s="669"/>
      <c r="I167" s="669"/>
      <c r="J167" s="669"/>
      <c r="K167" s="669"/>
    </row>
    <row r="168" spans="1:11" x14ac:dyDescent="0.25">
      <c r="A168" s="147"/>
      <c r="B168" s="117"/>
      <c r="C168" s="147"/>
      <c r="D168" s="147"/>
      <c r="E168" s="147"/>
      <c r="F168" s="147"/>
      <c r="G168" s="117"/>
      <c r="H168" s="174"/>
      <c r="I168" s="174"/>
      <c r="J168" s="117"/>
    </row>
    <row r="169" spans="1:11" x14ac:dyDescent="0.25">
      <c r="A169" s="178"/>
      <c r="B169" s="178" t="s">
        <v>551</v>
      </c>
      <c r="C169" s="178"/>
      <c r="D169" s="178"/>
      <c r="E169" s="178"/>
      <c r="F169" s="147"/>
      <c r="G169" s="117"/>
      <c r="H169" s="174"/>
      <c r="I169" s="174"/>
      <c r="J169" s="117"/>
    </row>
    <row r="170" spans="1:11" x14ac:dyDescent="0.25">
      <c r="A170" s="147"/>
      <c r="B170" s="117"/>
      <c r="C170" s="147"/>
      <c r="D170" s="147"/>
      <c r="E170" s="147"/>
      <c r="F170" s="147"/>
      <c r="G170" s="117"/>
      <c r="H170" s="174"/>
      <c r="I170" s="174"/>
      <c r="J170" s="117"/>
    </row>
    <row r="171" spans="1:11" x14ac:dyDescent="0.25">
      <c r="A171" s="635" t="s">
        <v>463</v>
      </c>
      <c r="B171" s="592" t="s">
        <v>9</v>
      </c>
      <c r="C171" s="592" t="s">
        <v>323</v>
      </c>
      <c r="D171" s="592" t="s">
        <v>552</v>
      </c>
      <c r="E171" s="663" t="s">
        <v>506</v>
      </c>
      <c r="F171" s="664"/>
      <c r="G171" s="665"/>
      <c r="H171" s="160"/>
      <c r="I171" s="174"/>
      <c r="J171" s="117"/>
    </row>
    <row r="172" spans="1:11" ht="47.25" x14ac:dyDescent="0.25">
      <c r="A172" s="636"/>
      <c r="B172" s="592"/>
      <c r="C172" s="592"/>
      <c r="D172" s="592"/>
      <c r="E172" s="166" t="s">
        <v>553</v>
      </c>
      <c r="F172" s="167" t="s">
        <v>492</v>
      </c>
      <c r="G172" s="206" t="s">
        <v>466</v>
      </c>
      <c r="H172" s="169"/>
      <c r="I172" s="174"/>
      <c r="J172" s="117"/>
    </row>
    <row r="173" spans="1:11" x14ac:dyDescent="0.25">
      <c r="A173" s="176">
        <v>1</v>
      </c>
      <c r="B173" s="177">
        <v>2</v>
      </c>
      <c r="C173" s="177">
        <v>3</v>
      </c>
      <c r="D173" s="177">
        <v>4</v>
      </c>
      <c r="E173" s="171">
        <v>5</v>
      </c>
      <c r="F173" s="143">
        <v>5</v>
      </c>
      <c r="G173" s="142">
        <v>6</v>
      </c>
      <c r="H173" s="144"/>
      <c r="I173" s="174"/>
      <c r="J173" s="117"/>
    </row>
    <row r="174" spans="1:11" x14ac:dyDescent="0.25">
      <c r="A174" s="210"/>
      <c r="B174" s="121"/>
      <c r="C174" s="125"/>
      <c r="D174" s="125"/>
      <c r="E174" s="164"/>
      <c r="F174" s="158"/>
      <c r="G174" s="164"/>
      <c r="H174" s="172"/>
      <c r="I174" s="174"/>
      <c r="J174" s="117"/>
    </row>
    <row r="175" spans="1:11" x14ac:dyDescent="0.25">
      <c r="A175" s="210"/>
      <c r="B175" s="121"/>
      <c r="C175" s="125"/>
      <c r="D175" s="125"/>
      <c r="E175" s="164"/>
      <c r="F175" s="158"/>
      <c r="G175" s="164"/>
      <c r="H175" s="172"/>
      <c r="I175" s="174"/>
      <c r="J175" s="117"/>
    </row>
    <row r="176" spans="1:11" x14ac:dyDescent="0.25">
      <c r="A176" s="608" t="s">
        <v>496</v>
      </c>
      <c r="B176" s="609"/>
      <c r="C176" s="125" t="s">
        <v>19</v>
      </c>
      <c r="D176" s="125" t="s">
        <v>19</v>
      </c>
      <c r="E176" s="164" t="s">
        <v>19</v>
      </c>
      <c r="F176" s="379">
        <v>0</v>
      </c>
      <c r="G176" s="378">
        <v>0</v>
      </c>
      <c r="H176" s="172"/>
      <c r="I176" s="174"/>
      <c r="J176" s="117"/>
    </row>
    <row r="177" spans="1:11" x14ac:dyDescent="0.25">
      <c r="A177" s="147"/>
      <c r="B177" s="117"/>
      <c r="C177" s="147"/>
      <c r="D177" s="147"/>
      <c r="E177" s="147"/>
      <c r="F177" s="147"/>
      <c r="G177" s="117"/>
      <c r="H177" s="174"/>
      <c r="I177" s="174"/>
      <c r="J177" s="117"/>
    </row>
    <row r="178" spans="1:11" ht="48" customHeight="1" x14ac:dyDescent="0.25">
      <c r="A178" s="670" t="s">
        <v>554</v>
      </c>
      <c r="B178" s="670"/>
      <c r="C178" s="670"/>
      <c r="D178" s="670"/>
      <c r="E178" s="670"/>
      <c r="F178" s="670"/>
      <c r="G178" s="670"/>
      <c r="H178" s="670"/>
      <c r="I178" s="670"/>
      <c r="J178" s="670"/>
      <c r="K178" s="670"/>
    </row>
    <row r="179" spans="1:11" x14ac:dyDescent="0.25">
      <c r="A179" s="147"/>
      <c r="B179" s="117"/>
      <c r="C179" s="147"/>
      <c r="D179" s="147"/>
      <c r="E179" s="147"/>
      <c r="F179" s="147"/>
      <c r="G179" s="117"/>
      <c r="H179" s="174"/>
      <c r="I179" s="174"/>
      <c r="J179" s="117"/>
    </row>
    <row r="180" spans="1:11" x14ac:dyDescent="0.25">
      <c r="A180" s="178"/>
      <c r="B180" s="178" t="s">
        <v>555</v>
      </c>
      <c r="C180" s="178"/>
      <c r="D180" s="178"/>
      <c r="E180" s="178"/>
      <c r="F180" s="178"/>
      <c r="G180" s="117"/>
      <c r="H180" s="174"/>
      <c r="I180" s="174"/>
      <c r="J180" s="117"/>
    </row>
    <row r="181" spans="1:11" x14ac:dyDescent="0.25">
      <c r="A181" s="147"/>
      <c r="B181" s="117"/>
      <c r="C181" s="147"/>
      <c r="D181" s="147"/>
      <c r="E181" s="147"/>
      <c r="F181" s="147"/>
      <c r="G181" s="117"/>
      <c r="H181" s="174"/>
      <c r="I181" s="174"/>
      <c r="J181" s="117"/>
    </row>
    <row r="182" spans="1:11" ht="15.75" customHeight="1" x14ac:dyDescent="0.25">
      <c r="A182" s="635" t="s">
        <v>463</v>
      </c>
      <c r="B182" s="592" t="s">
        <v>281</v>
      </c>
      <c r="C182" s="592" t="s">
        <v>327</v>
      </c>
      <c r="D182" s="592" t="s">
        <v>556</v>
      </c>
      <c r="E182" s="663" t="s">
        <v>506</v>
      </c>
      <c r="F182" s="664"/>
      <c r="G182" s="665"/>
      <c r="H182" s="160"/>
      <c r="I182" s="174"/>
      <c r="J182" s="117"/>
    </row>
    <row r="183" spans="1:11" ht="47.25" x14ac:dyDescent="0.25">
      <c r="A183" s="636"/>
      <c r="B183" s="592"/>
      <c r="C183" s="592"/>
      <c r="D183" s="592"/>
      <c r="E183" s="166" t="s">
        <v>557</v>
      </c>
      <c r="F183" s="167" t="s">
        <v>492</v>
      </c>
      <c r="G183" s="396" t="s">
        <v>466</v>
      </c>
      <c r="H183" s="169"/>
      <c r="I183" s="174"/>
      <c r="J183" s="117"/>
    </row>
    <row r="184" spans="1:11" x14ac:dyDescent="0.25">
      <c r="A184" s="176">
        <v>1</v>
      </c>
      <c r="B184" s="177">
        <v>2</v>
      </c>
      <c r="C184" s="177">
        <v>3</v>
      </c>
      <c r="D184" s="177">
        <v>4</v>
      </c>
      <c r="E184" s="171">
        <v>5</v>
      </c>
      <c r="F184" s="143">
        <v>5</v>
      </c>
      <c r="G184" s="142">
        <v>6</v>
      </c>
      <c r="H184" s="144"/>
      <c r="I184" s="174"/>
      <c r="J184" s="117"/>
    </row>
    <row r="185" spans="1:11" ht="26.25" x14ac:dyDescent="0.25">
      <c r="A185" s="299">
        <v>1</v>
      </c>
      <c r="B185" s="300" t="s">
        <v>678</v>
      </c>
      <c r="C185" s="125">
        <v>2</v>
      </c>
      <c r="D185" s="125">
        <v>12</v>
      </c>
      <c r="E185" s="281">
        <f t="shared" ref="E185:E192" si="2">F185+G185</f>
        <v>32310.339999999997</v>
      </c>
      <c r="F185" s="280"/>
      <c r="G185" s="301">
        <f>35411.52-G197</f>
        <v>32310.339999999997</v>
      </c>
      <c r="H185" s="144"/>
      <c r="I185" s="174"/>
      <c r="J185" s="117"/>
    </row>
    <row r="186" spans="1:11" x14ac:dyDescent="0.25">
      <c r="A186" s="299">
        <v>2</v>
      </c>
      <c r="B186" s="300" t="s">
        <v>679</v>
      </c>
      <c r="C186" s="125">
        <v>2</v>
      </c>
      <c r="D186" s="125">
        <v>12</v>
      </c>
      <c r="E186" s="281">
        <f t="shared" si="2"/>
        <v>1665156.4899999998</v>
      </c>
      <c r="F186" s="280"/>
      <c r="G186" s="301">
        <f>1856561.91-G194-G195-G196-G198-133783.02</f>
        <v>1665156.4899999998</v>
      </c>
      <c r="H186" s="144"/>
      <c r="I186" s="174"/>
      <c r="J186" s="117"/>
    </row>
    <row r="187" spans="1:11" ht="39" customHeight="1" x14ac:dyDescent="0.25">
      <c r="A187" s="397">
        <v>3</v>
      </c>
      <c r="B187" s="300" t="s">
        <v>695</v>
      </c>
      <c r="C187" s="125">
        <v>2</v>
      </c>
      <c r="D187" s="125">
        <v>12</v>
      </c>
      <c r="E187" s="281">
        <f t="shared" si="2"/>
        <v>21600</v>
      </c>
      <c r="F187" s="280"/>
      <c r="G187" s="301">
        <v>21600</v>
      </c>
      <c r="H187" s="172"/>
      <c r="I187" s="174"/>
      <c r="J187" s="117"/>
    </row>
    <row r="188" spans="1:11" x14ac:dyDescent="0.25">
      <c r="A188" s="397">
        <v>4</v>
      </c>
      <c r="B188" s="300" t="s">
        <v>680</v>
      </c>
      <c r="C188" s="125">
        <v>2</v>
      </c>
      <c r="D188" s="125">
        <v>12</v>
      </c>
      <c r="E188" s="281">
        <f t="shared" si="2"/>
        <v>192000</v>
      </c>
      <c r="F188" s="280"/>
      <c r="G188" s="301">
        <v>192000</v>
      </c>
      <c r="H188" s="172"/>
      <c r="I188" s="174"/>
      <c r="J188" s="117"/>
    </row>
    <row r="189" spans="1:11" ht="26.25" x14ac:dyDescent="0.25">
      <c r="A189" s="397">
        <v>5</v>
      </c>
      <c r="B189" s="300" t="s">
        <v>681</v>
      </c>
      <c r="C189" s="125">
        <v>2</v>
      </c>
      <c r="D189" s="125">
        <v>12</v>
      </c>
      <c r="E189" s="281">
        <f t="shared" si="2"/>
        <v>168000</v>
      </c>
      <c r="F189" s="280"/>
      <c r="G189" s="301">
        <v>168000</v>
      </c>
      <c r="H189" s="172"/>
      <c r="I189" s="174"/>
      <c r="J189" s="117"/>
    </row>
    <row r="190" spans="1:11" ht="39" customHeight="1" x14ac:dyDescent="0.25">
      <c r="A190" s="397">
        <v>6</v>
      </c>
      <c r="B190" s="300" t="s">
        <v>682</v>
      </c>
      <c r="C190" s="125">
        <v>2</v>
      </c>
      <c r="D190" s="125">
        <v>12</v>
      </c>
      <c r="E190" s="281">
        <f t="shared" si="2"/>
        <v>100393.20000000003</v>
      </c>
      <c r="F190" s="280"/>
      <c r="G190" s="301">
        <v>100393.20000000003</v>
      </c>
      <c r="H190" s="172"/>
      <c r="I190" s="174"/>
      <c r="J190" s="117"/>
    </row>
    <row r="191" spans="1:11" ht="26.25" customHeight="1" x14ac:dyDescent="0.25">
      <c r="A191" s="397">
        <v>7</v>
      </c>
      <c r="B191" s="300" t="s">
        <v>683</v>
      </c>
      <c r="C191" s="125">
        <v>2</v>
      </c>
      <c r="D191" s="125">
        <v>12</v>
      </c>
      <c r="E191" s="281">
        <f t="shared" si="2"/>
        <v>30000</v>
      </c>
      <c r="F191" s="280"/>
      <c r="G191" s="301">
        <v>30000</v>
      </c>
      <c r="H191" s="172"/>
      <c r="I191" s="174"/>
      <c r="J191" s="117"/>
    </row>
    <row r="192" spans="1:11" x14ac:dyDescent="0.25">
      <c r="A192" s="397">
        <v>8</v>
      </c>
      <c r="B192" s="300" t="s">
        <v>696</v>
      </c>
      <c r="C192" s="125">
        <v>2</v>
      </c>
      <c r="D192" s="125">
        <v>12</v>
      </c>
      <c r="E192" s="281">
        <f t="shared" si="2"/>
        <v>297600</v>
      </c>
      <c r="F192" s="280"/>
      <c r="G192" s="301">
        <v>297600</v>
      </c>
      <c r="H192" s="172"/>
      <c r="I192" s="174"/>
      <c r="J192" s="117"/>
    </row>
    <row r="193" spans="1:11" ht="26.25" customHeight="1" x14ac:dyDescent="0.25">
      <c r="A193" s="397">
        <v>9</v>
      </c>
      <c r="B193" s="300" t="s">
        <v>697</v>
      </c>
      <c r="C193" s="125">
        <v>2</v>
      </c>
      <c r="D193" s="125">
        <v>12</v>
      </c>
      <c r="E193" s="281">
        <f t="shared" ref="E193:E199" si="3">G193</f>
        <v>30000</v>
      </c>
      <c r="F193" s="280"/>
      <c r="G193" s="301">
        <v>30000</v>
      </c>
      <c r="H193" s="172"/>
      <c r="I193" s="174"/>
      <c r="J193" s="117"/>
    </row>
    <row r="194" spans="1:11" ht="114.75" customHeight="1" x14ac:dyDescent="0.25">
      <c r="A194" s="397">
        <v>10</v>
      </c>
      <c r="B194" s="300" t="s">
        <v>807</v>
      </c>
      <c r="C194" s="132">
        <v>2</v>
      </c>
      <c r="D194" s="132">
        <v>3</v>
      </c>
      <c r="E194" s="281">
        <f>G194</f>
        <v>45800</v>
      </c>
      <c r="F194" s="280"/>
      <c r="G194" s="301">
        <v>45800</v>
      </c>
      <c r="H194" s="172"/>
      <c r="I194" s="174"/>
      <c r="J194" s="117"/>
    </row>
    <row r="195" spans="1:11" ht="64.5" x14ac:dyDescent="0.25">
      <c r="A195" s="397">
        <v>11</v>
      </c>
      <c r="B195" s="300" t="s">
        <v>808</v>
      </c>
      <c r="C195" s="132">
        <v>2</v>
      </c>
      <c r="D195" s="132">
        <v>1</v>
      </c>
      <c r="E195" s="281">
        <f>G195</f>
        <v>5966.1</v>
      </c>
      <c r="F195" s="280"/>
      <c r="G195" s="301">
        <v>5966.1</v>
      </c>
      <c r="H195" s="172"/>
      <c r="I195" s="174"/>
      <c r="J195" s="117"/>
    </row>
    <row r="196" spans="1:11" ht="64.5" x14ac:dyDescent="0.25">
      <c r="A196" s="397">
        <v>12</v>
      </c>
      <c r="B196" s="300" t="s">
        <v>809</v>
      </c>
      <c r="C196" s="132">
        <v>2</v>
      </c>
      <c r="D196" s="132">
        <v>1</v>
      </c>
      <c r="E196" s="281">
        <f>G196</f>
        <v>0.5</v>
      </c>
      <c r="F196" s="280"/>
      <c r="G196" s="301">
        <v>0.5</v>
      </c>
      <c r="H196" s="172"/>
      <c r="I196" s="174"/>
      <c r="J196" s="117"/>
    </row>
    <row r="197" spans="1:11" ht="64.5" x14ac:dyDescent="0.25">
      <c r="A197" s="397">
        <v>13</v>
      </c>
      <c r="B197" s="300" t="s">
        <v>810</v>
      </c>
      <c r="C197" s="132">
        <v>2</v>
      </c>
      <c r="D197" s="132">
        <v>1</v>
      </c>
      <c r="E197" s="281">
        <f>G197</f>
        <v>3101.18</v>
      </c>
      <c r="F197" s="280"/>
      <c r="G197" s="301">
        <v>3101.18</v>
      </c>
      <c r="H197" s="172"/>
      <c r="I197" s="174"/>
      <c r="J197" s="117"/>
    </row>
    <row r="198" spans="1:11" ht="77.25" x14ac:dyDescent="0.25">
      <c r="A198" s="397">
        <v>14</v>
      </c>
      <c r="B198" s="300" t="s">
        <v>811</v>
      </c>
      <c r="C198" s="132">
        <v>2</v>
      </c>
      <c r="D198" s="132">
        <v>1</v>
      </c>
      <c r="E198" s="281">
        <f>G198</f>
        <v>5855.8</v>
      </c>
      <c r="F198" s="280"/>
      <c r="G198" s="301">
        <v>5855.8</v>
      </c>
      <c r="H198" s="172"/>
      <c r="I198" s="174"/>
      <c r="J198" s="117"/>
    </row>
    <row r="199" spans="1:11" x14ac:dyDescent="0.25">
      <c r="A199" s="608" t="s">
        <v>496</v>
      </c>
      <c r="B199" s="609"/>
      <c r="C199" s="125" t="s">
        <v>19</v>
      </c>
      <c r="D199" s="125" t="s">
        <v>19</v>
      </c>
      <c r="E199" s="294">
        <f t="shared" si="3"/>
        <v>2597783.61</v>
      </c>
      <c r="F199" s="296">
        <v>0</v>
      </c>
      <c r="G199" s="294">
        <f>SUM(G185:G198)</f>
        <v>2597783.61</v>
      </c>
      <c r="H199" s="172"/>
      <c r="I199" s="174"/>
      <c r="J199" s="117"/>
    </row>
    <row r="200" spans="1:11" x14ac:dyDescent="0.25">
      <c r="A200" s="147"/>
      <c r="B200" s="117"/>
      <c r="C200" s="147"/>
      <c r="D200" s="147"/>
      <c r="E200" s="147"/>
      <c r="F200" s="147"/>
      <c r="G200" s="117"/>
      <c r="H200" s="174"/>
      <c r="I200" s="174"/>
      <c r="J200" s="117"/>
    </row>
    <row r="201" spans="1:11" ht="53.25" customHeight="1" x14ac:dyDescent="0.25">
      <c r="A201" s="667" t="s">
        <v>558</v>
      </c>
      <c r="B201" s="667"/>
      <c r="C201" s="667"/>
      <c r="D201" s="667"/>
      <c r="E201" s="667"/>
      <c r="F201" s="667"/>
      <c r="G201" s="667"/>
      <c r="H201" s="667"/>
      <c r="I201" s="667"/>
      <c r="J201" s="667"/>
      <c r="K201" s="667"/>
    </row>
    <row r="202" spans="1:11" x14ac:dyDescent="0.25">
      <c r="A202" s="147"/>
      <c r="B202" s="117"/>
      <c r="C202" s="147"/>
      <c r="D202" s="147"/>
      <c r="E202" s="147"/>
      <c r="F202" s="147"/>
      <c r="G202" s="117"/>
      <c r="H202" s="174"/>
      <c r="I202" s="174"/>
      <c r="J202" s="117"/>
    </row>
    <row r="203" spans="1:11" x14ac:dyDescent="0.25">
      <c r="A203" s="178"/>
      <c r="B203" s="178" t="s">
        <v>559</v>
      </c>
      <c r="C203" s="178"/>
      <c r="D203" s="178"/>
      <c r="E203" s="178"/>
      <c r="F203" s="147"/>
      <c r="G203" s="117"/>
      <c r="H203" s="174"/>
      <c r="I203" s="174"/>
      <c r="J203" s="117"/>
    </row>
    <row r="204" spans="1:11" x14ac:dyDescent="0.25">
      <c r="A204" s="147"/>
      <c r="B204" s="117"/>
      <c r="C204" s="147"/>
      <c r="D204" s="147"/>
      <c r="E204" s="147"/>
      <c r="F204" s="147"/>
      <c r="G204" s="117"/>
      <c r="H204" s="174"/>
      <c r="I204" s="174"/>
      <c r="J204" s="117"/>
    </row>
    <row r="205" spans="1:11" ht="15.75" customHeight="1" x14ac:dyDescent="0.25">
      <c r="A205" s="635" t="s">
        <v>463</v>
      </c>
      <c r="B205" s="592" t="s">
        <v>9</v>
      </c>
      <c r="C205" s="592" t="s">
        <v>276</v>
      </c>
      <c r="D205" s="663" t="s">
        <v>506</v>
      </c>
      <c r="E205" s="664"/>
      <c r="F205" s="665"/>
      <c r="G205" s="160"/>
      <c r="H205" s="174"/>
      <c r="I205" s="174"/>
      <c r="J205" s="117"/>
    </row>
    <row r="206" spans="1:11" ht="31.5" x14ac:dyDescent="0.25">
      <c r="A206" s="636"/>
      <c r="B206" s="592"/>
      <c r="C206" s="592"/>
      <c r="D206" s="166" t="s">
        <v>560</v>
      </c>
      <c r="E206" s="396" t="s">
        <v>492</v>
      </c>
      <c r="F206" s="396" t="s">
        <v>466</v>
      </c>
      <c r="G206" s="169"/>
      <c r="H206" s="174"/>
      <c r="I206" s="174"/>
      <c r="J206" s="117"/>
    </row>
    <row r="207" spans="1:11" x14ac:dyDescent="0.25">
      <c r="A207" s="176">
        <v>1</v>
      </c>
      <c r="B207" s="177">
        <v>2</v>
      </c>
      <c r="C207" s="177">
        <v>3</v>
      </c>
      <c r="D207" s="171">
        <v>5</v>
      </c>
      <c r="E207" s="142">
        <v>5</v>
      </c>
      <c r="F207" s="142">
        <v>6</v>
      </c>
      <c r="G207" s="144"/>
      <c r="H207" s="174"/>
      <c r="I207" s="174"/>
      <c r="J207" s="117"/>
    </row>
    <row r="208" spans="1:11" ht="26.25" customHeight="1" x14ac:dyDescent="0.25">
      <c r="A208" s="397">
        <v>1</v>
      </c>
      <c r="B208" s="302" t="s">
        <v>698</v>
      </c>
      <c r="C208" s="158">
        <v>1</v>
      </c>
      <c r="D208" s="294">
        <f>F208</f>
        <v>17172</v>
      </c>
      <c r="E208" s="294"/>
      <c r="F208" s="294">
        <v>17172</v>
      </c>
      <c r="G208" s="172"/>
      <c r="H208" s="174"/>
      <c r="I208" s="174"/>
      <c r="J208" s="117"/>
    </row>
    <row r="209" spans="1:11" x14ac:dyDescent="0.25">
      <c r="A209" s="397">
        <v>2</v>
      </c>
      <c r="B209" s="302" t="s">
        <v>699</v>
      </c>
      <c r="C209" s="158">
        <v>1</v>
      </c>
      <c r="D209" s="294">
        <f>F209</f>
        <v>10000</v>
      </c>
      <c r="E209" s="294"/>
      <c r="F209" s="294">
        <v>10000</v>
      </c>
      <c r="G209" s="172"/>
      <c r="H209" s="174"/>
      <c r="I209" s="174"/>
      <c r="J209" s="117"/>
    </row>
    <row r="210" spans="1:11" x14ac:dyDescent="0.25">
      <c r="A210" s="397">
        <v>3</v>
      </c>
      <c r="B210" s="300" t="s">
        <v>684</v>
      </c>
      <c r="C210" s="158">
        <v>9</v>
      </c>
      <c r="D210" s="294">
        <f>E210</f>
        <v>33613.919999999998</v>
      </c>
      <c r="E210" s="294">
        <v>33613.919999999998</v>
      </c>
      <c r="F210" s="294"/>
      <c r="G210" s="172"/>
      <c r="H210" s="174"/>
      <c r="I210" s="174"/>
      <c r="J210" s="117"/>
    </row>
    <row r="211" spans="1:11" ht="30" customHeight="1" x14ac:dyDescent="0.25">
      <c r="A211" s="397">
        <v>4</v>
      </c>
      <c r="B211" s="300" t="s">
        <v>700</v>
      </c>
      <c r="C211" s="158">
        <v>1</v>
      </c>
      <c r="D211" s="294">
        <f>F211</f>
        <v>15000</v>
      </c>
      <c r="E211" s="294"/>
      <c r="F211" s="294">
        <v>15000</v>
      </c>
      <c r="G211" s="172"/>
      <c r="H211" s="174"/>
      <c r="I211" s="174"/>
      <c r="J211" s="117"/>
    </row>
    <row r="212" spans="1:11" ht="13.5" customHeight="1" x14ac:dyDescent="0.25">
      <c r="A212" s="397">
        <v>5</v>
      </c>
      <c r="B212" s="300" t="s">
        <v>701</v>
      </c>
      <c r="C212" s="158">
        <v>1</v>
      </c>
      <c r="D212" s="294">
        <f>F212</f>
        <v>8500</v>
      </c>
      <c r="E212" s="294"/>
      <c r="F212" s="294">
        <v>8500</v>
      </c>
      <c r="G212" s="172"/>
      <c r="H212" s="174"/>
      <c r="I212" s="174"/>
      <c r="J212" s="117"/>
    </row>
    <row r="213" spans="1:11" x14ac:dyDescent="0.25">
      <c r="A213" s="397">
        <v>6</v>
      </c>
      <c r="B213" s="300" t="s">
        <v>702</v>
      </c>
      <c r="C213" s="158">
        <v>2</v>
      </c>
      <c r="D213" s="294">
        <f>F213</f>
        <v>77000</v>
      </c>
      <c r="E213" s="294"/>
      <c r="F213" s="294">
        <v>77000</v>
      </c>
      <c r="G213" s="172"/>
      <c r="H213" s="174"/>
      <c r="I213" s="174"/>
      <c r="J213" s="117"/>
    </row>
    <row r="214" spans="1:11" ht="26.25" x14ac:dyDescent="0.25">
      <c r="A214" s="397">
        <v>7</v>
      </c>
      <c r="B214" s="300" t="s">
        <v>703</v>
      </c>
      <c r="C214" s="158">
        <v>1</v>
      </c>
      <c r="D214" s="294">
        <f t="shared" ref="D214:D218" si="4">F214</f>
        <v>731754.80999999994</v>
      </c>
      <c r="E214" s="294"/>
      <c r="F214" s="294">
        <f>721259.76-F216-F217-F218+82203.61</f>
        <v>731754.80999999994</v>
      </c>
      <c r="G214" s="172"/>
      <c r="H214" s="174"/>
      <c r="I214" s="174"/>
      <c r="J214" s="117"/>
    </row>
    <row r="215" spans="1:11" x14ac:dyDescent="0.25">
      <c r="A215" s="397">
        <v>8</v>
      </c>
      <c r="B215" s="300" t="s">
        <v>704</v>
      </c>
      <c r="C215" s="158">
        <v>1</v>
      </c>
      <c r="D215" s="281">
        <f t="shared" si="4"/>
        <v>2565346.11</v>
      </c>
      <c r="E215" s="281"/>
      <c r="F215" s="281">
        <f>2085218.16+196175.38+283952.57</f>
        <v>2565346.11</v>
      </c>
      <c r="G215" s="172"/>
      <c r="H215" s="174"/>
      <c r="I215" s="174"/>
      <c r="J215" s="117"/>
    </row>
    <row r="216" spans="1:11" ht="64.5" x14ac:dyDescent="0.25">
      <c r="A216" s="397">
        <v>9</v>
      </c>
      <c r="B216" s="300" t="s">
        <v>812</v>
      </c>
      <c r="C216" s="165">
        <v>1</v>
      </c>
      <c r="D216" s="281">
        <f t="shared" si="4"/>
        <v>52846.559999999998</v>
      </c>
      <c r="E216" s="281"/>
      <c r="F216" s="281">
        <v>52846.559999999998</v>
      </c>
      <c r="G216" s="172"/>
      <c r="H216" s="174"/>
      <c r="I216" s="174"/>
      <c r="J216" s="117"/>
    </row>
    <row r="217" spans="1:11" ht="77.25" x14ac:dyDescent="0.25">
      <c r="A217" s="397">
        <v>10</v>
      </c>
      <c r="B217" s="300" t="s">
        <v>813</v>
      </c>
      <c r="C217" s="165">
        <v>1</v>
      </c>
      <c r="D217" s="281">
        <f t="shared" si="4"/>
        <v>2862</v>
      </c>
      <c r="E217" s="281"/>
      <c r="F217" s="281">
        <v>2862</v>
      </c>
      <c r="G217" s="172"/>
      <c r="H217" s="174"/>
      <c r="I217" s="174"/>
      <c r="J217" s="117"/>
    </row>
    <row r="218" spans="1:11" ht="77.25" x14ac:dyDescent="0.25">
      <c r="A218" s="397">
        <v>11</v>
      </c>
      <c r="B218" s="300" t="s">
        <v>814</v>
      </c>
      <c r="C218" s="165">
        <v>1</v>
      </c>
      <c r="D218" s="281">
        <f t="shared" si="4"/>
        <v>16000</v>
      </c>
      <c r="E218" s="281"/>
      <c r="F218" s="281">
        <v>16000</v>
      </c>
      <c r="G218" s="172"/>
      <c r="H218" s="174"/>
      <c r="I218" s="174"/>
      <c r="J218" s="117"/>
    </row>
    <row r="219" spans="1:11" x14ac:dyDescent="0.25">
      <c r="A219" s="608" t="s">
        <v>496</v>
      </c>
      <c r="B219" s="609"/>
      <c r="C219" s="125" t="s">
        <v>19</v>
      </c>
      <c r="D219" s="294">
        <f>F219+E219</f>
        <v>3530095.4</v>
      </c>
      <c r="E219" s="294">
        <f>E210</f>
        <v>33613.919999999998</v>
      </c>
      <c r="F219" s="294">
        <f>SUM(F208:F218)</f>
        <v>3496481.48</v>
      </c>
      <c r="G219" s="172"/>
      <c r="H219" s="174"/>
      <c r="I219" s="174"/>
      <c r="J219" s="117"/>
    </row>
    <row r="220" spans="1:11" x14ac:dyDescent="0.25">
      <c r="A220" s="147"/>
      <c r="B220" s="117"/>
      <c r="C220" s="147"/>
      <c r="D220" s="147"/>
      <c r="E220" s="147"/>
      <c r="F220" s="147"/>
      <c r="G220" s="117"/>
      <c r="H220" s="174"/>
      <c r="I220" s="174"/>
      <c r="J220" s="117"/>
    </row>
    <row r="221" spans="1:11" ht="149.25" customHeight="1" x14ac:dyDescent="0.25">
      <c r="A221" s="667" t="s">
        <v>561</v>
      </c>
      <c r="B221" s="667"/>
      <c r="C221" s="667"/>
      <c r="D221" s="667"/>
      <c r="E221" s="667"/>
      <c r="F221" s="667"/>
      <c r="G221" s="667"/>
      <c r="H221" s="667"/>
      <c r="I221" s="667"/>
      <c r="J221" s="667"/>
      <c r="K221" s="667"/>
    </row>
    <row r="222" spans="1:11" x14ac:dyDescent="0.25">
      <c r="A222" s="147"/>
      <c r="B222" s="117"/>
      <c r="C222" s="147"/>
      <c r="D222" s="147"/>
      <c r="E222" s="147"/>
      <c r="F222" s="147"/>
      <c r="G222" s="117"/>
      <c r="H222" s="174"/>
      <c r="I222" s="174"/>
      <c r="J222" s="117"/>
    </row>
    <row r="223" spans="1:11" x14ac:dyDescent="0.25">
      <c r="A223" s="119"/>
      <c r="B223" s="119" t="s">
        <v>562</v>
      </c>
      <c r="C223" s="119"/>
      <c r="D223" s="119"/>
    </row>
    <row r="224" spans="1:11" x14ac:dyDescent="0.25">
      <c r="B224" s="94"/>
    </row>
    <row r="225" spans="1:12" ht="25.5" customHeight="1" x14ac:dyDescent="0.25">
      <c r="A225" s="635" t="s">
        <v>463</v>
      </c>
      <c r="B225" s="635" t="s">
        <v>281</v>
      </c>
      <c r="C225" s="673"/>
      <c r="D225" s="622" t="s">
        <v>323</v>
      </c>
      <c r="E225" s="593" t="s">
        <v>331</v>
      </c>
      <c r="F225" s="624" t="s">
        <v>506</v>
      </c>
      <c r="G225" s="625"/>
      <c r="H225" s="626"/>
      <c r="I225" s="182"/>
      <c r="J225" s="139"/>
    </row>
    <row r="226" spans="1:12" ht="54.75" customHeight="1" x14ac:dyDescent="0.25">
      <c r="A226" s="636"/>
      <c r="B226" s="636"/>
      <c r="C226" s="674"/>
      <c r="D226" s="623"/>
      <c r="E226" s="594"/>
      <c r="F226" s="395" t="s">
        <v>563</v>
      </c>
      <c r="G226" s="395" t="s">
        <v>492</v>
      </c>
      <c r="H226" s="395" t="s">
        <v>466</v>
      </c>
      <c r="I226" s="117"/>
      <c r="J226" s="141"/>
      <c r="L226" s="94" t="s">
        <v>799</v>
      </c>
    </row>
    <row r="227" spans="1:12" ht="15.75" customHeight="1" x14ac:dyDescent="0.25">
      <c r="A227" s="397">
        <v>1</v>
      </c>
      <c r="B227" s="671">
        <v>2</v>
      </c>
      <c r="C227" s="672"/>
      <c r="D227" s="397">
        <v>3</v>
      </c>
      <c r="E227" s="397">
        <v>4</v>
      </c>
      <c r="F227" s="397">
        <v>5</v>
      </c>
      <c r="G227" s="397">
        <v>6</v>
      </c>
      <c r="H227" s="397">
        <v>7</v>
      </c>
      <c r="I227" s="174"/>
      <c r="J227" s="174"/>
    </row>
    <row r="228" spans="1:12" x14ac:dyDescent="0.25">
      <c r="A228" s="401">
        <v>1</v>
      </c>
      <c r="B228" s="632" t="s">
        <v>685</v>
      </c>
      <c r="C228" s="633"/>
      <c r="D228" s="401">
        <v>8</v>
      </c>
      <c r="E228" s="294">
        <f>F228/D228</f>
        <v>77430</v>
      </c>
      <c r="F228" s="294">
        <f>H228</f>
        <v>619440</v>
      </c>
      <c r="G228" s="281"/>
      <c r="H228" s="281">
        <f>540000-H230+80000</f>
        <v>619440</v>
      </c>
      <c r="I228" s="174"/>
      <c r="J228" s="117"/>
    </row>
    <row r="229" spans="1:12" x14ac:dyDescent="0.25">
      <c r="A229" s="401">
        <v>2</v>
      </c>
      <c r="B229" s="654" t="s">
        <v>686</v>
      </c>
      <c r="C229" s="654"/>
      <c r="D229" s="401">
        <v>10</v>
      </c>
      <c r="E229" s="294">
        <f>F229/D229</f>
        <v>49368.555999999997</v>
      </c>
      <c r="F229" s="294">
        <f>G229</f>
        <v>493685.56</v>
      </c>
      <c r="G229" s="294">
        <f>300000+193685.56</f>
        <v>493685.56</v>
      </c>
      <c r="H229" s="281"/>
      <c r="I229" s="174"/>
      <c r="J229" s="117"/>
    </row>
    <row r="230" spans="1:12" ht="52.5" customHeight="1" x14ac:dyDescent="0.25">
      <c r="A230" s="401">
        <v>3</v>
      </c>
      <c r="B230" s="675" t="s">
        <v>815</v>
      </c>
      <c r="C230" s="676"/>
      <c r="D230" s="397">
        <v>1</v>
      </c>
      <c r="E230" s="281">
        <v>560</v>
      </c>
      <c r="F230" s="281">
        <f>G230</f>
        <v>0</v>
      </c>
      <c r="G230" s="281"/>
      <c r="H230" s="281">
        <v>560</v>
      </c>
      <c r="I230" s="117"/>
      <c r="J230" s="117"/>
    </row>
    <row r="231" spans="1:12" x14ac:dyDescent="0.25">
      <c r="A231" s="632" t="s">
        <v>260</v>
      </c>
      <c r="B231" s="677"/>
      <c r="C231" s="633"/>
      <c r="D231" s="401"/>
      <c r="E231" s="401" t="s">
        <v>19</v>
      </c>
      <c r="F231" s="294">
        <f>G231+H231</f>
        <v>1113685.56</v>
      </c>
      <c r="G231" s="294">
        <f>G229</f>
        <v>493685.56</v>
      </c>
      <c r="H231" s="294">
        <f>SUM(H228:H230)</f>
        <v>620000</v>
      </c>
      <c r="I231" s="117"/>
      <c r="J231" s="117"/>
    </row>
    <row r="232" spans="1:12" x14ac:dyDescent="0.25">
      <c r="B232" s="94"/>
    </row>
    <row r="233" spans="1:12" x14ac:dyDescent="0.25">
      <c r="A233" s="119"/>
      <c r="B233" s="119" t="s">
        <v>564</v>
      </c>
      <c r="C233" s="119"/>
      <c r="D233" s="119"/>
    </row>
    <row r="234" spans="1:12" x14ac:dyDescent="0.25">
      <c r="B234" s="94"/>
    </row>
    <row r="235" spans="1:12" ht="25.5" customHeight="1" x14ac:dyDescent="0.25">
      <c r="A235" s="622" t="s">
        <v>463</v>
      </c>
      <c r="B235" s="635" t="s">
        <v>281</v>
      </c>
      <c r="C235" s="673"/>
      <c r="D235" s="622" t="s">
        <v>323</v>
      </c>
      <c r="E235" s="593" t="s">
        <v>331</v>
      </c>
      <c r="F235" s="624" t="s">
        <v>506</v>
      </c>
      <c r="G235" s="625"/>
      <c r="H235" s="626"/>
      <c r="I235" s="182"/>
      <c r="J235" s="139"/>
    </row>
    <row r="236" spans="1:12" ht="54.75" customHeight="1" x14ac:dyDescent="0.25">
      <c r="A236" s="623"/>
      <c r="B236" s="636"/>
      <c r="C236" s="674"/>
      <c r="D236" s="623"/>
      <c r="E236" s="594"/>
      <c r="F236" s="395" t="s">
        <v>563</v>
      </c>
      <c r="G236" s="395" t="s">
        <v>492</v>
      </c>
      <c r="H236" s="395" t="s">
        <v>466</v>
      </c>
      <c r="I236" s="117"/>
      <c r="J236" s="141"/>
      <c r="L236" s="94" t="s">
        <v>799</v>
      </c>
    </row>
    <row r="237" spans="1:12" ht="15.75" customHeight="1" x14ac:dyDescent="0.25">
      <c r="A237" s="397">
        <v>1</v>
      </c>
      <c r="B237" s="671">
        <v>2</v>
      </c>
      <c r="C237" s="672"/>
      <c r="D237" s="397">
        <v>3</v>
      </c>
      <c r="E237" s="397">
        <v>4</v>
      </c>
      <c r="F237" s="397">
        <v>5</v>
      </c>
      <c r="G237" s="397">
        <v>6</v>
      </c>
      <c r="H237" s="397">
        <v>7</v>
      </c>
      <c r="I237" s="174"/>
      <c r="J237" s="174"/>
    </row>
    <row r="238" spans="1:12" x14ac:dyDescent="0.25">
      <c r="A238" s="401">
        <v>1</v>
      </c>
      <c r="B238" s="632" t="s">
        <v>687</v>
      </c>
      <c r="C238" s="633"/>
      <c r="D238" s="401">
        <v>6</v>
      </c>
      <c r="E238" s="294">
        <v>15000</v>
      </c>
      <c r="F238" s="294">
        <f>H238</f>
        <v>90000</v>
      </c>
      <c r="G238" s="281"/>
      <c r="H238" s="281">
        <v>90000</v>
      </c>
      <c r="I238" s="174"/>
      <c r="J238" s="117"/>
    </row>
    <row r="239" spans="1:12" x14ac:dyDescent="0.25">
      <c r="A239" s="401">
        <v>2</v>
      </c>
      <c r="B239" s="632" t="s">
        <v>688</v>
      </c>
      <c r="C239" s="633"/>
      <c r="D239" s="401">
        <v>24</v>
      </c>
      <c r="E239" s="294">
        <v>7500</v>
      </c>
      <c r="F239" s="294">
        <f>H239</f>
        <v>180000</v>
      </c>
      <c r="G239" s="294"/>
      <c r="H239" s="281">
        <v>180000</v>
      </c>
      <c r="I239" s="174"/>
      <c r="J239" s="117"/>
    </row>
    <row r="240" spans="1:12" x14ac:dyDescent="0.25">
      <c r="A240" s="401">
        <v>3</v>
      </c>
      <c r="B240" s="632" t="s">
        <v>689</v>
      </c>
      <c r="C240" s="633"/>
      <c r="D240" s="401">
        <v>4</v>
      </c>
      <c r="E240" s="294">
        <f>F240/D240</f>
        <v>44630</v>
      </c>
      <c r="F240" s="294">
        <f>H240</f>
        <v>178520</v>
      </c>
      <c r="G240" s="294"/>
      <c r="H240" s="281">
        <f>180000-H245</f>
        <v>178520</v>
      </c>
      <c r="I240" s="174"/>
      <c r="J240" s="117"/>
    </row>
    <row r="241" spans="1:11" x14ac:dyDescent="0.25">
      <c r="A241" s="401">
        <v>4</v>
      </c>
      <c r="B241" s="654" t="s">
        <v>690</v>
      </c>
      <c r="C241" s="654"/>
      <c r="D241" s="401">
        <v>8</v>
      </c>
      <c r="E241" s="294">
        <v>15000</v>
      </c>
      <c r="F241" s="294">
        <f>G241</f>
        <v>170000</v>
      </c>
      <c r="G241" s="294">
        <f>120000+50000</f>
        <v>170000</v>
      </c>
      <c r="H241" s="281"/>
      <c r="I241" s="174"/>
      <c r="J241" s="117"/>
    </row>
    <row r="242" spans="1:11" x14ac:dyDescent="0.25">
      <c r="A242" s="401">
        <v>5</v>
      </c>
      <c r="B242" s="654" t="s">
        <v>691</v>
      </c>
      <c r="C242" s="654"/>
      <c r="D242" s="401">
        <v>1</v>
      </c>
      <c r="E242" s="294">
        <f>F242</f>
        <v>998054.87</v>
      </c>
      <c r="F242" s="294">
        <f>H242</f>
        <v>998054.87</v>
      </c>
      <c r="G242" s="294"/>
      <c r="H242" s="281">
        <f>1000000-H246</f>
        <v>998054.87</v>
      </c>
      <c r="I242" s="174"/>
      <c r="J242" s="117"/>
    </row>
    <row r="243" spans="1:11" x14ac:dyDescent="0.25">
      <c r="A243" s="401">
        <v>6</v>
      </c>
      <c r="B243" s="654" t="s">
        <v>692</v>
      </c>
      <c r="C243" s="654"/>
      <c r="D243" s="401">
        <v>8</v>
      </c>
      <c r="E243" s="294">
        <v>56250</v>
      </c>
      <c r="F243" s="294">
        <f>H243</f>
        <v>450000</v>
      </c>
      <c r="G243" s="294"/>
      <c r="H243" s="281">
        <v>450000</v>
      </c>
      <c r="I243" s="174"/>
      <c r="J243" s="117"/>
    </row>
    <row r="244" spans="1:11" x14ac:dyDescent="0.25">
      <c r="A244" s="401">
        <v>7</v>
      </c>
      <c r="B244" s="654" t="s">
        <v>693</v>
      </c>
      <c r="C244" s="654"/>
      <c r="D244" s="401">
        <v>2</v>
      </c>
      <c r="E244" s="294">
        <v>32000</v>
      </c>
      <c r="F244" s="294">
        <f>H244</f>
        <v>144000</v>
      </c>
      <c r="G244" s="294"/>
      <c r="H244" s="281">
        <f>64000+80000</f>
        <v>144000</v>
      </c>
      <c r="I244" s="174"/>
      <c r="J244" s="117"/>
    </row>
    <row r="245" spans="1:11" ht="50.25" customHeight="1" x14ac:dyDescent="0.25">
      <c r="A245" s="397">
        <v>8</v>
      </c>
      <c r="B245" s="675" t="s">
        <v>816</v>
      </c>
      <c r="C245" s="676"/>
      <c r="D245" s="397">
        <v>1</v>
      </c>
      <c r="E245" s="281">
        <v>1480</v>
      </c>
      <c r="F245" s="281">
        <f>H245</f>
        <v>1480</v>
      </c>
      <c r="G245" s="281"/>
      <c r="H245" s="281">
        <v>1480</v>
      </c>
      <c r="I245" s="117"/>
      <c r="J245" s="117"/>
    </row>
    <row r="246" spans="1:11" ht="54.75" customHeight="1" x14ac:dyDescent="0.25">
      <c r="A246" s="397">
        <v>9</v>
      </c>
      <c r="B246" s="675" t="s">
        <v>817</v>
      </c>
      <c r="C246" s="676"/>
      <c r="D246" s="397">
        <v>1</v>
      </c>
      <c r="E246" s="281">
        <v>1945.13</v>
      </c>
      <c r="F246" s="281">
        <f>H246</f>
        <v>1945.13</v>
      </c>
      <c r="G246" s="281"/>
      <c r="H246" s="281">
        <v>1945.13</v>
      </c>
      <c r="I246" s="117"/>
      <c r="J246" s="117"/>
    </row>
    <row r="247" spans="1:11" x14ac:dyDescent="0.25">
      <c r="A247" s="632" t="s">
        <v>260</v>
      </c>
      <c r="B247" s="677"/>
      <c r="C247" s="633"/>
      <c r="D247" s="401"/>
      <c r="E247" s="401" t="s">
        <v>19</v>
      </c>
      <c r="F247" s="294">
        <f>G247+H247</f>
        <v>2214000</v>
      </c>
      <c r="G247" s="294">
        <f>G241</f>
        <v>170000</v>
      </c>
      <c r="H247" s="294">
        <f>SUM(H238:H246)</f>
        <v>2044000</v>
      </c>
      <c r="I247" s="117"/>
      <c r="J247" s="117"/>
    </row>
    <row r="248" spans="1:11" x14ac:dyDescent="0.25">
      <c r="A248" s="149"/>
      <c r="B248" s="149"/>
      <c r="C248" s="149"/>
      <c r="D248" s="147"/>
      <c r="E248" s="147"/>
      <c r="F248" s="403"/>
      <c r="G248" s="403"/>
      <c r="H248" s="403"/>
      <c r="I248" s="117"/>
      <c r="J248" s="117"/>
    </row>
    <row r="249" spans="1:11" ht="135" customHeight="1" x14ac:dyDescent="0.25">
      <c r="A249" s="653" t="s">
        <v>565</v>
      </c>
      <c r="B249" s="653"/>
      <c r="C249" s="653"/>
      <c r="D249" s="653"/>
      <c r="E249" s="653"/>
      <c r="F249" s="653"/>
      <c r="G249" s="653"/>
      <c r="H249" s="653"/>
      <c r="I249" s="653"/>
      <c r="J249" s="653"/>
      <c r="K249" s="653"/>
    </row>
    <row r="250" spans="1:11" x14ac:dyDescent="0.25">
      <c r="B250" s="94"/>
    </row>
    <row r="251" spans="1:11" x14ac:dyDescent="0.25">
      <c r="A251" s="119"/>
      <c r="B251" s="119" t="s">
        <v>566</v>
      </c>
      <c r="C251" s="119"/>
      <c r="D251" s="119"/>
    </row>
    <row r="252" spans="1:11" x14ac:dyDescent="0.25">
      <c r="B252" s="94"/>
    </row>
    <row r="253" spans="1:11" ht="25.5" customHeight="1" x14ac:dyDescent="0.25">
      <c r="A253" s="635" t="s">
        <v>463</v>
      </c>
      <c r="B253" s="635" t="s">
        <v>281</v>
      </c>
      <c r="C253" s="673"/>
      <c r="D253" s="622" t="s">
        <v>323</v>
      </c>
      <c r="E253" s="593" t="s">
        <v>331</v>
      </c>
      <c r="F253" s="624" t="s">
        <v>506</v>
      </c>
      <c r="G253" s="625"/>
      <c r="H253" s="626"/>
      <c r="I253" s="182"/>
      <c r="J253" s="139"/>
    </row>
    <row r="254" spans="1:11" ht="54.75" customHeight="1" x14ac:dyDescent="0.25">
      <c r="A254" s="636"/>
      <c r="B254" s="636"/>
      <c r="C254" s="674"/>
      <c r="D254" s="623"/>
      <c r="E254" s="594"/>
      <c r="F254" s="381" t="s">
        <v>563</v>
      </c>
      <c r="G254" s="381" t="s">
        <v>492</v>
      </c>
      <c r="H254" s="381" t="s">
        <v>466</v>
      </c>
      <c r="I254" s="117"/>
      <c r="J254" s="141"/>
    </row>
    <row r="255" spans="1:11" ht="15.75" customHeight="1" x14ac:dyDescent="0.25">
      <c r="A255" s="145">
        <v>1</v>
      </c>
      <c r="B255" s="671">
        <v>2</v>
      </c>
      <c r="C255" s="672"/>
      <c r="D255" s="145">
        <v>3</v>
      </c>
      <c r="E255" s="145">
        <v>4</v>
      </c>
      <c r="F255" s="145">
        <v>5</v>
      </c>
      <c r="G255" s="145">
        <v>6</v>
      </c>
      <c r="H255" s="145">
        <v>7</v>
      </c>
      <c r="I255" s="174"/>
      <c r="J255" s="174"/>
    </row>
    <row r="256" spans="1:11" x14ac:dyDescent="0.25">
      <c r="A256" s="129"/>
      <c r="B256" s="663"/>
      <c r="C256" s="665"/>
      <c r="D256" s="129"/>
      <c r="E256" s="129"/>
      <c r="F256" s="129"/>
      <c r="G256" s="145"/>
      <c r="H256" s="145"/>
      <c r="I256" s="174"/>
      <c r="J256" s="117"/>
    </row>
    <row r="257" spans="1:10" x14ac:dyDescent="0.25">
      <c r="A257" s="129"/>
      <c r="B257" s="663"/>
      <c r="C257" s="665"/>
      <c r="D257" s="129"/>
      <c r="E257" s="129"/>
      <c r="F257" s="129"/>
      <c r="G257" s="129"/>
      <c r="H257" s="145"/>
      <c r="I257" s="174"/>
      <c r="J257" s="117"/>
    </row>
    <row r="258" spans="1:10" x14ac:dyDescent="0.25">
      <c r="A258" s="632" t="s">
        <v>260</v>
      </c>
      <c r="B258" s="677"/>
      <c r="C258" s="633"/>
      <c r="D258" s="210"/>
      <c r="E258" s="210" t="s">
        <v>19</v>
      </c>
      <c r="F258" s="378">
        <v>0</v>
      </c>
      <c r="G258" s="378">
        <v>0</v>
      </c>
      <c r="H258" s="378">
        <v>0</v>
      </c>
      <c r="I258" s="117"/>
      <c r="J258" s="117"/>
    </row>
    <row r="260" spans="1:10" s="84" customFormat="1" ht="25.5" customHeight="1" x14ac:dyDescent="0.25">
      <c r="A260" s="446" t="s">
        <v>597</v>
      </c>
      <c r="B260" s="446"/>
      <c r="C260" s="446"/>
      <c r="D260" s="446"/>
      <c r="E260" s="446"/>
      <c r="F260" s="446"/>
      <c r="G260" s="446"/>
      <c r="H260" s="446"/>
      <c r="I260" s="446"/>
      <c r="J260" s="446"/>
    </row>
    <row r="261" spans="1:10" ht="15.75" customHeight="1" x14ac:dyDescent="0.25">
      <c r="A261" s="635" t="s">
        <v>463</v>
      </c>
      <c r="B261" s="592" t="s">
        <v>9</v>
      </c>
      <c r="C261" s="592" t="s">
        <v>319</v>
      </c>
      <c r="D261" s="592" t="s">
        <v>548</v>
      </c>
      <c r="E261" s="592" t="s">
        <v>549</v>
      </c>
      <c r="F261" s="663" t="s">
        <v>506</v>
      </c>
      <c r="G261" s="664"/>
      <c r="H261" s="665"/>
      <c r="I261" s="160"/>
      <c r="J261" s="117"/>
    </row>
    <row r="262" spans="1:10" ht="47.25" x14ac:dyDescent="0.25">
      <c r="A262" s="636"/>
      <c r="B262" s="592"/>
      <c r="C262" s="592"/>
      <c r="D262" s="592"/>
      <c r="E262" s="592"/>
      <c r="F262" s="406" t="s">
        <v>539</v>
      </c>
      <c r="G262" s="407" t="s">
        <v>492</v>
      </c>
      <c r="H262" s="407" t="s">
        <v>466</v>
      </c>
      <c r="I262" s="169"/>
      <c r="J262" s="117"/>
    </row>
    <row r="263" spans="1:10" x14ac:dyDescent="0.25">
      <c r="A263" s="124">
        <v>1</v>
      </c>
      <c r="B263" s="124">
        <v>2</v>
      </c>
      <c r="C263" s="124">
        <v>3</v>
      </c>
      <c r="D263" s="124">
        <v>4</v>
      </c>
      <c r="E263" s="124">
        <v>5</v>
      </c>
      <c r="F263" s="127">
        <v>6</v>
      </c>
      <c r="G263" s="142">
        <v>7</v>
      </c>
      <c r="H263" s="142">
        <v>8</v>
      </c>
      <c r="I263" s="144"/>
      <c r="J263" s="117"/>
    </row>
    <row r="264" spans="1:10" x14ac:dyDescent="0.25">
      <c r="A264" s="148" t="s">
        <v>448</v>
      </c>
      <c r="B264" s="408" t="s">
        <v>675</v>
      </c>
      <c r="C264" s="280">
        <v>788.90110900317063</v>
      </c>
      <c r="D264" s="280">
        <v>1688.2100354930753</v>
      </c>
      <c r="E264" s="380">
        <v>1.04</v>
      </c>
      <c r="F264" s="281">
        <f>C264*D264*E264</f>
        <v>1385104</v>
      </c>
      <c r="G264" s="294"/>
      <c r="H264" s="294">
        <f>1385104-19266.65</f>
        <v>1365837.35</v>
      </c>
      <c r="I264" s="172"/>
      <c r="J264" s="117"/>
    </row>
    <row r="265" spans="1:10" ht="25.5" x14ac:dyDescent="0.25">
      <c r="A265" s="148" t="s">
        <v>80</v>
      </c>
      <c r="B265" s="408" t="s">
        <v>676</v>
      </c>
      <c r="C265" s="280">
        <v>38576.599225277881</v>
      </c>
      <c r="D265" s="280">
        <v>5.8100936408953077</v>
      </c>
      <c r="E265" s="380">
        <v>1.04</v>
      </c>
      <c r="F265" s="281">
        <f>C265*D265*E265+74180.99</f>
        <v>307279.99000000005</v>
      </c>
      <c r="G265" s="294"/>
      <c r="H265" s="281">
        <f>233099+74180.99</f>
        <v>307279.99</v>
      </c>
      <c r="I265" s="172"/>
      <c r="J265" s="117"/>
    </row>
    <row r="266" spans="1:10" x14ac:dyDescent="0.25">
      <c r="A266" s="650" t="s">
        <v>540</v>
      </c>
      <c r="B266" s="652"/>
      <c r="C266" s="132" t="s">
        <v>19</v>
      </c>
      <c r="D266" s="132" t="s">
        <v>19</v>
      </c>
      <c r="E266" s="132" t="s">
        <v>19</v>
      </c>
      <c r="F266" s="289">
        <f>H266+G266</f>
        <v>1673117.34</v>
      </c>
      <c r="G266" s="290">
        <v>0</v>
      </c>
      <c r="H266" s="290">
        <f>SUM(H264:H265)</f>
        <v>1673117.34</v>
      </c>
      <c r="I266" s="172"/>
      <c r="J266" s="117"/>
    </row>
    <row r="268" spans="1:10" s="84" customFormat="1" ht="18.75" x14ac:dyDescent="0.3">
      <c r="A268" s="183" t="s">
        <v>567</v>
      </c>
      <c r="B268" s="183"/>
      <c r="C268" s="183"/>
      <c r="D268" s="184"/>
      <c r="E268" s="184"/>
      <c r="F268" s="184"/>
      <c r="G268" s="184"/>
    </row>
    <row r="269" spans="1:10" s="84" customFormat="1" x14ac:dyDescent="0.25">
      <c r="A269" s="85"/>
      <c r="B269" s="86"/>
      <c r="C269" s="86"/>
      <c r="D269" s="83"/>
    </row>
    <row r="270" spans="1:10" s="84" customFormat="1" ht="42" customHeight="1" x14ac:dyDescent="0.25">
      <c r="A270" s="394" t="s">
        <v>463</v>
      </c>
      <c r="B270" s="679" t="s">
        <v>335</v>
      </c>
      <c r="C270" s="679"/>
      <c r="D270" s="392" t="s">
        <v>464</v>
      </c>
      <c r="E270" s="89"/>
    </row>
    <row r="271" spans="1:10" s="84" customFormat="1" ht="24.75" customHeight="1" x14ac:dyDescent="0.25">
      <c r="A271" s="394">
        <v>1</v>
      </c>
      <c r="B271" s="678" t="s">
        <v>465</v>
      </c>
      <c r="C271" s="678"/>
      <c r="D271" s="91">
        <f>J20+G37+G46+G64+H78+G94+G142+F124+F153+G165+F176+F199+E219+G231+G247+G258</f>
        <v>39212659.553501301</v>
      </c>
      <c r="E271" s="303"/>
    </row>
    <row r="272" spans="1:10" s="84" customFormat="1" ht="24.75" customHeight="1" x14ac:dyDescent="0.25">
      <c r="A272" s="394">
        <v>2</v>
      </c>
      <c r="B272" s="678" t="s">
        <v>466</v>
      </c>
      <c r="C272" s="678"/>
      <c r="D272" s="91">
        <f>J25+H37+H46+H64+I78+H94+G124+H142+G153+H165+G176+G199+F219+H231+H247+H258+H266-0.01</f>
        <v>11786222.422828266</v>
      </c>
      <c r="E272" s="304"/>
    </row>
    <row r="273" spans="1:12" s="84" customFormat="1" ht="25.5" customHeight="1" x14ac:dyDescent="0.25">
      <c r="A273" s="561" t="s">
        <v>360</v>
      </c>
      <c r="B273" s="562"/>
      <c r="C273" s="563"/>
      <c r="D273" s="185">
        <f>SUM(D271:D272)</f>
        <v>50998881.976329565</v>
      </c>
      <c r="E273" s="195"/>
      <c r="H273" s="257"/>
      <c r="L273" s="257">
        <f>'1 раздел'!Q4</f>
        <v>50998881.979999997</v>
      </c>
    </row>
    <row r="275" spans="1:12" x14ac:dyDescent="0.25">
      <c r="L275" s="258">
        <f>L273-D273</f>
        <v>3.6704316735267639E-3</v>
      </c>
    </row>
    <row r="276" spans="1:12" s="84" customFormat="1" x14ac:dyDescent="0.25">
      <c r="A276" s="96" t="s">
        <v>467</v>
      </c>
      <c r="B276" s="96"/>
      <c r="C276" s="97"/>
      <c r="D276" s="443"/>
      <c r="E276" s="443"/>
      <c r="F276" s="85" t="s">
        <v>634</v>
      </c>
      <c r="G276" s="85"/>
    </row>
    <row r="277" spans="1:12" s="84" customFormat="1" x14ac:dyDescent="0.25">
      <c r="A277" s="98"/>
      <c r="B277" s="99"/>
      <c r="C277" s="99"/>
      <c r="D277" s="445" t="s">
        <v>468</v>
      </c>
      <c r="E277" s="445"/>
      <c r="F277" s="445"/>
      <c r="G277" s="445"/>
    </row>
    <row r="278" spans="1:12" s="84" customFormat="1" x14ac:dyDescent="0.25">
      <c r="A278" s="96" t="s">
        <v>469</v>
      </c>
      <c r="B278" s="96"/>
      <c r="C278" s="97"/>
      <c r="D278" s="443"/>
      <c r="E278" s="443"/>
      <c r="F278" s="85" t="s">
        <v>645</v>
      </c>
      <c r="G278" s="85"/>
    </row>
    <row r="279" spans="1:12" s="84" customFormat="1" x14ac:dyDescent="0.25">
      <c r="A279" s="98"/>
      <c r="B279" s="99"/>
      <c r="C279" s="99"/>
      <c r="D279" s="445" t="s">
        <v>468</v>
      </c>
      <c r="E279" s="445"/>
      <c r="F279" s="445"/>
      <c r="G279" s="445"/>
    </row>
    <row r="285" spans="1:12" x14ac:dyDescent="0.25">
      <c r="E285" s="258"/>
    </row>
  </sheetData>
  <mergeCells count="188">
    <mergeCell ref="D279:E279"/>
    <mergeCell ref="F279:G279"/>
    <mergeCell ref="B272:C272"/>
    <mergeCell ref="A273:C273"/>
    <mergeCell ref="D276:E276"/>
    <mergeCell ref="D277:E277"/>
    <mergeCell ref="F277:G277"/>
    <mergeCell ref="D278:E278"/>
    <mergeCell ref="B255:C255"/>
    <mergeCell ref="B256:C256"/>
    <mergeCell ref="B257:C257"/>
    <mergeCell ref="A258:C258"/>
    <mergeCell ref="B270:C270"/>
    <mergeCell ref="B271:C271"/>
    <mergeCell ref="A260:J260"/>
    <mergeCell ref="A261:A262"/>
    <mergeCell ref="B261:B262"/>
    <mergeCell ref="C261:C262"/>
    <mergeCell ref="D261:D262"/>
    <mergeCell ref="E261:E262"/>
    <mergeCell ref="F261:H261"/>
    <mergeCell ref="A266:B266"/>
    <mergeCell ref="B243:C243"/>
    <mergeCell ref="B244:C244"/>
    <mergeCell ref="A249:K249"/>
    <mergeCell ref="A253:A254"/>
    <mergeCell ref="B253:C254"/>
    <mergeCell ref="D253:D254"/>
    <mergeCell ref="E253:E254"/>
    <mergeCell ref="F253:H253"/>
    <mergeCell ref="B245:C245"/>
    <mergeCell ref="B246:C246"/>
    <mergeCell ref="A247:C247"/>
    <mergeCell ref="B237:C237"/>
    <mergeCell ref="B238:C238"/>
    <mergeCell ref="B239:C239"/>
    <mergeCell ref="B240:C240"/>
    <mergeCell ref="B241:C241"/>
    <mergeCell ref="B242:C242"/>
    <mergeCell ref="A235:A236"/>
    <mergeCell ref="B235:C236"/>
    <mergeCell ref="B230:C230"/>
    <mergeCell ref="A231:C231"/>
    <mergeCell ref="D235:D236"/>
    <mergeCell ref="E235:E236"/>
    <mergeCell ref="F235:H235"/>
    <mergeCell ref="B227:C227"/>
    <mergeCell ref="B228:C228"/>
    <mergeCell ref="B229:C229"/>
    <mergeCell ref="A221:K221"/>
    <mergeCell ref="A225:A226"/>
    <mergeCell ref="B225:C226"/>
    <mergeCell ref="D225:D226"/>
    <mergeCell ref="E225:E226"/>
    <mergeCell ref="F225:H225"/>
    <mergeCell ref="A219:B219"/>
    <mergeCell ref="A201:K201"/>
    <mergeCell ref="A205:A206"/>
    <mergeCell ref="B205:B206"/>
    <mergeCell ref="C205:C206"/>
    <mergeCell ref="D205:F205"/>
    <mergeCell ref="A176:B176"/>
    <mergeCell ref="A178:K178"/>
    <mergeCell ref="A182:A183"/>
    <mergeCell ref="B182:B183"/>
    <mergeCell ref="C182:C183"/>
    <mergeCell ref="D182:D183"/>
    <mergeCell ref="E182:G182"/>
    <mergeCell ref="A199:B199"/>
    <mergeCell ref="A167:K167"/>
    <mergeCell ref="A171:A172"/>
    <mergeCell ref="B171:B172"/>
    <mergeCell ref="C171:C172"/>
    <mergeCell ref="D171:D172"/>
    <mergeCell ref="E171:G171"/>
    <mergeCell ref="A153:B153"/>
    <mergeCell ref="A155:K155"/>
    <mergeCell ref="A159:A160"/>
    <mergeCell ref="B159:B160"/>
    <mergeCell ref="C159:C160"/>
    <mergeCell ref="D159:D160"/>
    <mergeCell ref="E159:E160"/>
    <mergeCell ref="F159:H159"/>
    <mergeCell ref="A165:B165"/>
    <mergeCell ref="A144:K144"/>
    <mergeCell ref="A148:A149"/>
    <mergeCell ref="B148:B149"/>
    <mergeCell ref="C148:C149"/>
    <mergeCell ref="D148:D149"/>
    <mergeCell ref="E148:G148"/>
    <mergeCell ref="A124:B124"/>
    <mergeCell ref="A126:K126"/>
    <mergeCell ref="A128:K128"/>
    <mergeCell ref="A136:A137"/>
    <mergeCell ref="B136:B137"/>
    <mergeCell ref="C136:C137"/>
    <mergeCell ref="D136:D137"/>
    <mergeCell ref="E136:E137"/>
    <mergeCell ref="F136:H136"/>
    <mergeCell ref="A142:B142"/>
    <mergeCell ref="A111:K111"/>
    <mergeCell ref="A113:K113"/>
    <mergeCell ref="A119:A120"/>
    <mergeCell ref="B119:B120"/>
    <mergeCell ref="C119:C120"/>
    <mergeCell ref="D119:D120"/>
    <mergeCell ref="E119:G119"/>
    <mergeCell ref="A94:C94"/>
    <mergeCell ref="A96:K96"/>
    <mergeCell ref="A98:K98"/>
    <mergeCell ref="A99:E99"/>
    <mergeCell ref="A104:A105"/>
    <mergeCell ref="B104:B105"/>
    <mergeCell ref="C104:C105"/>
    <mergeCell ref="D104:D105"/>
    <mergeCell ref="E104:G104"/>
    <mergeCell ref="B90:C90"/>
    <mergeCell ref="B91:C91"/>
    <mergeCell ref="B92:C92"/>
    <mergeCell ref="B93:C93"/>
    <mergeCell ref="A82:K82"/>
    <mergeCell ref="A88:A89"/>
    <mergeCell ref="B88:C89"/>
    <mergeCell ref="D88:D89"/>
    <mergeCell ref="E88:E89"/>
    <mergeCell ref="F88:H88"/>
    <mergeCell ref="B76:D76"/>
    <mergeCell ref="B77:D77"/>
    <mergeCell ref="A78:D78"/>
    <mergeCell ref="A80:K80"/>
    <mergeCell ref="A64:D64"/>
    <mergeCell ref="A66:K66"/>
    <mergeCell ref="B67:F67"/>
    <mergeCell ref="A68:K68"/>
    <mergeCell ref="A74:A75"/>
    <mergeCell ref="B74:D75"/>
    <mergeCell ref="E74:E75"/>
    <mergeCell ref="F74:F75"/>
    <mergeCell ref="G74:I74"/>
    <mergeCell ref="B58:D58"/>
    <mergeCell ref="B59:D59"/>
    <mergeCell ref="B60:D60"/>
    <mergeCell ref="B61:D61"/>
    <mergeCell ref="B62:D62"/>
    <mergeCell ref="B63:D63"/>
    <mergeCell ref="B52:D52"/>
    <mergeCell ref="B53:D53"/>
    <mergeCell ref="B54:D54"/>
    <mergeCell ref="B55:D55"/>
    <mergeCell ref="B56:D56"/>
    <mergeCell ref="B57:D57"/>
    <mergeCell ref="A46:B46"/>
    <mergeCell ref="B48:I48"/>
    <mergeCell ref="A50:A51"/>
    <mergeCell ref="B50:D51"/>
    <mergeCell ref="E50:E51"/>
    <mergeCell ref="F50:H50"/>
    <mergeCell ref="A37:B37"/>
    <mergeCell ref="B39:F39"/>
    <mergeCell ref="A41:A42"/>
    <mergeCell ref="B41:B42"/>
    <mergeCell ref="C41:C42"/>
    <mergeCell ref="D41:D42"/>
    <mergeCell ref="E41:E42"/>
    <mergeCell ref="F41:H41"/>
    <mergeCell ref="B30:I30"/>
    <mergeCell ref="A32:A33"/>
    <mergeCell ref="B32:B33"/>
    <mergeCell ref="C32:C33"/>
    <mergeCell ref="D32:D33"/>
    <mergeCell ref="E32:E33"/>
    <mergeCell ref="F32:H32"/>
    <mergeCell ref="J12:J14"/>
    <mergeCell ref="K12:K14"/>
    <mergeCell ref="E13:G13"/>
    <mergeCell ref="A26:B26"/>
    <mergeCell ref="A28:K28"/>
    <mergeCell ref="B29:K29"/>
    <mergeCell ref="E1:F1"/>
    <mergeCell ref="A2:K2"/>
    <mergeCell ref="B3:I3"/>
    <mergeCell ref="A4:K4"/>
    <mergeCell ref="A12:A14"/>
    <mergeCell ref="B12:B14"/>
    <mergeCell ref="C12:C14"/>
    <mergeCell ref="D12:G12"/>
    <mergeCell ref="H12:H14"/>
    <mergeCell ref="I12:I14"/>
  </mergeCells>
  <pageMargins left="0.62992125984251968" right="0.19685039370078741" top="0.39370078740157483" bottom="0.43307086614173229" header="0.31496062992125984" footer="0.31496062992125984"/>
  <pageSetup paperSize="9" scale="54" orientation="landscape" r:id="rId1"/>
  <rowBreaks count="3" manualBreakCount="3">
    <brk id="29" max="16383" man="1"/>
    <brk id="65" max="10" man="1"/>
    <brk id="18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титульный лист</vt:lpstr>
      <vt:lpstr>1 раздел</vt:lpstr>
      <vt:lpstr>2 раздел</vt:lpstr>
      <vt:lpstr>Приложение 2 Внеб доходы</vt:lpstr>
      <vt:lpstr>Расшифровка доходов по МЗ</vt:lpstr>
      <vt:lpstr>Расшифровка доходов по ИЦ </vt:lpstr>
      <vt:lpstr>Расшифровка доходов по ивестиц.</vt:lpstr>
      <vt:lpstr>Приложение 3 Внеб расходы</vt:lpstr>
      <vt:lpstr>ФЭО расходов МЗ </vt:lpstr>
      <vt:lpstr>ФЭО расходов ИЦ</vt:lpstr>
      <vt:lpstr>ФЭО расходов инвестиции</vt:lpstr>
      <vt:lpstr>'1 раздел'!Область_печати</vt:lpstr>
      <vt:lpstr>'2 раздел'!Область_печати</vt:lpstr>
      <vt:lpstr>'Приложение 2 Внеб доходы'!Область_печати</vt:lpstr>
      <vt:lpstr>'Приложение 3 Внеб расходы'!Область_печати</vt:lpstr>
      <vt:lpstr>'Расшифровка доходов по ивестиц.'!Область_печати</vt:lpstr>
      <vt:lpstr>'Расшифровка доходов по ИЦ '!Область_печати</vt:lpstr>
      <vt:lpstr>'Расшифровка доходов по МЗ'!Область_печати</vt:lpstr>
      <vt:lpstr>'титульный лист'!Область_печати</vt:lpstr>
      <vt:lpstr>'ФЭО расходов инвестиции'!Область_печати</vt:lpstr>
      <vt:lpstr>'ФЭО расходов ИЦ'!Область_печати</vt:lpstr>
      <vt:lpstr>'ФЭО расходов МЗ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2021-04-06T03:45:26Z</dcterms:modified>
</cp:coreProperties>
</file>